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0370" windowHeight="91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5" i="1"/>
  <c r="J14" i="1"/>
  <c r="J13" i="1"/>
  <c r="J12" i="1"/>
  <c r="J11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O89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O78" i="1"/>
  <c r="O76" i="1"/>
  <c r="O75" i="1"/>
  <c r="O74" i="1"/>
  <c r="L24" i="1"/>
  <c r="M24" i="1"/>
  <c r="Q76" i="1"/>
  <c r="N76" i="1"/>
  <c r="Q72" i="1"/>
  <c r="P72" i="1"/>
  <c r="O72" i="1"/>
  <c r="N72" i="1"/>
  <c r="Q70" i="1"/>
  <c r="P70" i="1"/>
  <c r="N70" i="1"/>
  <c r="Q69" i="1"/>
  <c r="P69" i="1"/>
  <c r="N69" i="1"/>
  <c r="Q68" i="1"/>
  <c r="P68" i="1"/>
  <c r="N68" i="1"/>
  <c r="Q67" i="1"/>
  <c r="P67" i="1"/>
  <c r="N67" i="1"/>
  <c r="Q66" i="1"/>
  <c r="P66" i="1"/>
  <c r="N66" i="1"/>
  <c r="Q65" i="1"/>
  <c r="P65" i="1"/>
  <c r="N65" i="1"/>
  <c r="Q64" i="1"/>
  <c r="P64" i="1"/>
  <c r="N64" i="1"/>
  <c r="Q63" i="1"/>
  <c r="P63" i="1"/>
  <c r="N63" i="1"/>
  <c r="Q62" i="1"/>
  <c r="P62" i="1"/>
  <c r="O62" i="1"/>
  <c r="N62" i="1"/>
  <c r="H43" i="1"/>
  <c r="H21" i="1" l="1"/>
  <c r="H20" i="1"/>
  <c r="H19" i="1"/>
  <c r="H17" i="1"/>
  <c r="H18" i="1"/>
  <c r="H16" i="1"/>
  <c r="H15" i="1"/>
  <c r="Q13" i="1"/>
  <c r="P13" i="1"/>
  <c r="O13" i="1"/>
  <c r="N13" i="1"/>
  <c r="Q12" i="1"/>
  <c r="P12" i="1"/>
  <c r="O12" i="1"/>
  <c r="N12" i="1"/>
  <c r="M13" i="1" l="1"/>
  <c r="M12" i="1"/>
  <c r="M67" i="1" l="1"/>
  <c r="H62" i="1"/>
  <c r="H107" i="1"/>
  <c r="H106" i="1"/>
  <c r="H77" i="1"/>
  <c r="O77" i="1" s="1"/>
  <c r="T21" i="1"/>
  <c r="T11" i="1"/>
  <c r="N61" i="1"/>
  <c r="R100" i="1" l="1"/>
  <c r="T100" i="1" s="1"/>
  <c r="R107" i="1"/>
  <c r="T107" i="1" s="1"/>
  <c r="R106" i="1"/>
  <c r="T106" i="1" s="1"/>
  <c r="R104" i="1"/>
  <c r="T104" i="1" s="1"/>
  <c r="R103" i="1"/>
  <c r="T103" i="1" s="1"/>
  <c r="R102" i="1"/>
  <c r="T102" i="1" s="1"/>
  <c r="R99" i="1"/>
  <c r="T99" i="1" s="1"/>
  <c r="R98" i="1"/>
  <c r="T98" i="1" s="1"/>
  <c r="R89" i="1"/>
  <c r="R78" i="1"/>
  <c r="T78" i="1" s="1"/>
  <c r="R77" i="1"/>
  <c r="T77" i="1" s="1"/>
  <c r="R76" i="1"/>
  <c r="T76" i="1" s="1"/>
  <c r="R75" i="1"/>
  <c r="T75" i="1" s="1"/>
  <c r="R74" i="1"/>
  <c r="T74" i="1" s="1"/>
  <c r="R72" i="1"/>
  <c r="T72" i="1" s="1"/>
  <c r="R62" i="1"/>
  <c r="T62" i="1" s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3" i="1"/>
  <c r="T33" i="1" s="1"/>
  <c r="R32" i="1"/>
  <c r="T32" i="1" s="1"/>
  <c r="R30" i="1"/>
  <c r="T30" i="1" s="1"/>
  <c r="R29" i="1"/>
  <c r="T29" i="1" s="1"/>
  <c r="R28" i="1"/>
  <c r="T28" i="1" s="1"/>
  <c r="R27" i="1"/>
  <c r="T27" i="1" s="1"/>
  <c r="R25" i="1"/>
  <c r="T25" i="1" s="1"/>
  <c r="R24" i="1"/>
  <c r="T24" i="1" s="1"/>
  <c r="R23" i="1"/>
  <c r="T23" i="1" s="1"/>
  <c r="R20" i="1"/>
  <c r="T20" i="1" s="1"/>
  <c r="R19" i="1"/>
  <c r="T19" i="1" s="1"/>
  <c r="R18" i="1"/>
  <c r="T18" i="1" s="1"/>
  <c r="R17" i="1"/>
  <c r="T17" i="1" s="1"/>
  <c r="R16" i="1"/>
  <c r="T16" i="1" s="1"/>
  <c r="R15" i="1"/>
  <c r="R13" i="1"/>
  <c r="T13" i="1" s="1"/>
  <c r="R12" i="1"/>
  <c r="T12" i="1" s="1"/>
  <c r="R11" i="1"/>
  <c r="R21" i="1"/>
  <c r="M108" i="1"/>
  <c r="M73" i="1"/>
  <c r="L14" i="1"/>
  <c r="K14" i="1"/>
  <c r="L22" i="1"/>
  <c r="L31" i="1"/>
  <c r="K31" i="1"/>
  <c r="L26" i="1"/>
  <c r="K26" i="1"/>
  <c r="L61" i="1"/>
  <c r="M61" i="1"/>
  <c r="M31" i="1"/>
  <c r="M79" i="1"/>
  <c r="M11" i="1"/>
  <c r="M71" i="1"/>
  <c r="M34" i="1"/>
  <c r="M22" i="1"/>
  <c r="M20" i="1"/>
  <c r="M15" i="1"/>
  <c r="T15" i="1" l="1"/>
  <c r="R22" i="1"/>
  <c r="M97" i="1"/>
  <c r="M103" i="1"/>
  <c r="M105" i="1" l="1"/>
  <c r="M101" i="1"/>
  <c r="M26" i="1"/>
  <c r="M14" i="1"/>
  <c r="Q108" i="1"/>
  <c r="P108" i="1"/>
  <c r="O108" i="1"/>
  <c r="N108" i="1"/>
  <c r="Q105" i="1"/>
  <c r="P105" i="1"/>
  <c r="O105" i="1"/>
  <c r="N105" i="1"/>
  <c r="Q101" i="1"/>
  <c r="P101" i="1"/>
  <c r="O101" i="1"/>
  <c r="N101" i="1"/>
  <c r="Q97" i="1"/>
  <c r="P97" i="1"/>
  <c r="N97" i="1"/>
  <c r="Q79" i="1"/>
  <c r="P79" i="1"/>
  <c r="O79" i="1"/>
  <c r="N79" i="1"/>
  <c r="Q73" i="1"/>
  <c r="P73" i="1"/>
  <c r="O73" i="1"/>
  <c r="N73" i="1"/>
  <c r="Q71" i="1"/>
  <c r="P71" i="1"/>
  <c r="N71" i="1"/>
  <c r="Q61" i="1"/>
  <c r="P61" i="1"/>
  <c r="O61" i="1"/>
  <c r="Q34" i="1"/>
  <c r="P34" i="1"/>
  <c r="O34" i="1"/>
  <c r="N34" i="1"/>
  <c r="Q31" i="1"/>
  <c r="P31" i="1"/>
  <c r="O31" i="1"/>
  <c r="N31" i="1"/>
  <c r="Q26" i="1"/>
  <c r="P26" i="1"/>
  <c r="O26" i="1"/>
  <c r="N26" i="1"/>
  <c r="Q22" i="1"/>
  <c r="P22" i="1"/>
  <c r="O22" i="1"/>
  <c r="N22" i="1"/>
  <c r="Q14" i="1"/>
  <c r="P14" i="1"/>
  <c r="O14" i="1"/>
  <c r="N14" i="1"/>
  <c r="L108" i="1"/>
  <c r="L105" i="1"/>
  <c r="L97" i="1"/>
  <c r="L73" i="1"/>
  <c r="L71" i="1"/>
  <c r="L34" i="1"/>
  <c r="K105" i="1"/>
  <c r="K107" i="1"/>
  <c r="K108" i="1" s="1"/>
  <c r="K103" i="1"/>
  <c r="K100" i="1"/>
  <c r="K99" i="1"/>
  <c r="K98" i="1"/>
  <c r="K101" i="1" s="1"/>
  <c r="K93" i="1"/>
  <c r="K92" i="1"/>
  <c r="K88" i="1"/>
  <c r="K87" i="1"/>
  <c r="K83" i="1"/>
  <c r="K80" i="1"/>
  <c r="K97" i="1" s="1"/>
  <c r="K78" i="1"/>
  <c r="K77" i="1"/>
  <c r="K76" i="1"/>
  <c r="K75" i="1"/>
  <c r="K74" i="1"/>
  <c r="K70" i="1"/>
  <c r="K69" i="1"/>
  <c r="K68" i="1"/>
  <c r="K67" i="1"/>
  <c r="K66" i="1"/>
  <c r="K65" i="1"/>
  <c r="K64" i="1"/>
  <c r="K63" i="1"/>
  <c r="K60" i="1"/>
  <c r="K59" i="1"/>
  <c r="K58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21" i="1"/>
  <c r="K20" i="1"/>
  <c r="K19" i="1"/>
  <c r="K17" i="1"/>
  <c r="K22" i="1" s="1"/>
  <c r="K13" i="1"/>
  <c r="K61" i="1" l="1"/>
  <c r="K71" i="1"/>
  <c r="K79" i="1"/>
  <c r="M109" i="1"/>
  <c r="R34" i="1"/>
  <c r="T34" i="1" s="1"/>
  <c r="R31" i="1"/>
  <c r="T31" i="1" s="1"/>
  <c r="R14" i="1"/>
  <c r="T14" i="1" s="1"/>
  <c r="R26" i="1"/>
  <c r="T26" i="1" s="1"/>
  <c r="R79" i="1"/>
  <c r="R108" i="1"/>
  <c r="P109" i="1"/>
  <c r="N109" i="1"/>
  <c r="R61" i="1"/>
  <c r="R73" i="1"/>
  <c r="T73" i="1" s="1"/>
  <c r="R101" i="1"/>
  <c r="T101" i="1" s="1"/>
  <c r="R105" i="1"/>
  <c r="T105" i="1" s="1"/>
  <c r="Q109" i="1"/>
  <c r="L79" i="1" l="1"/>
  <c r="L109" i="1" s="1"/>
  <c r="K73" i="1"/>
  <c r="K34" i="1"/>
  <c r="E70" i="1"/>
  <c r="O70" i="1" s="1"/>
  <c r="R70" i="1" s="1"/>
  <c r="T70" i="1" s="1"/>
  <c r="D97" i="1"/>
  <c r="G108" i="1"/>
  <c r="F108" i="1"/>
  <c r="D108" i="1"/>
  <c r="G105" i="1"/>
  <c r="F105" i="1"/>
  <c r="D105" i="1"/>
  <c r="G101" i="1"/>
  <c r="F101" i="1"/>
  <c r="D101" i="1"/>
  <c r="F97" i="1"/>
  <c r="G79" i="1"/>
  <c r="F79" i="1"/>
  <c r="D79" i="1"/>
  <c r="G73" i="1"/>
  <c r="F73" i="1"/>
  <c r="D73" i="1"/>
  <c r="G71" i="1"/>
  <c r="F71" i="1"/>
  <c r="D71" i="1"/>
  <c r="G61" i="1"/>
  <c r="F61" i="1"/>
  <c r="D61" i="1"/>
  <c r="G34" i="1"/>
  <c r="F34" i="1"/>
  <c r="D34" i="1"/>
  <c r="G31" i="1"/>
  <c r="F31" i="1"/>
  <c r="D31" i="1"/>
  <c r="G14" i="1"/>
  <c r="F14" i="1"/>
  <c r="D14" i="1"/>
  <c r="G22" i="1"/>
  <c r="F22" i="1"/>
  <c r="H104" i="1"/>
  <c r="H103" i="1"/>
  <c r="E103" i="1" s="1"/>
  <c r="H102" i="1"/>
  <c r="H100" i="1"/>
  <c r="H99" i="1"/>
  <c r="H98" i="1"/>
  <c r="E98" i="1" s="1"/>
  <c r="H95" i="1"/>
  <c r="H94" i="1"/>
  <c r="H93" i="1"/>
  <c r="E93" i="1" s="1"/>
  <c r="O93" i="1" s="1"/>
  <c r="R93" i="1" s="1"/>
  <c r="T93" i="1" s="1"/>
  <c r="H92" i="1"/>
  <c r="E92" i="1" s="1"/>
  <c r="O92" i="1" s="1"/>
  <c r="R92" i="1" s="1"/>
  <c r="T92" i="1" s="1"/>
  <c r="H91" i="1"/>
  <c r="H90" i="1"/>
  <c r="H89" i="1"/>
  <c r="T89" i="1" s="1"/>
  <c r="H88" i="1"/>
  <c r="E88" i="1" s="1"/>
  <c r="O88" i="1" s="1"/>
  <c r="R88" i="1" s="1"/>
  <c r="T88" i="1" s="1"/>
  <c r="H87" i="1"/>
  <c r="H86" i="1"/>
  <c r="H85" i="1"/>
  <c r="H84" i="1"/>
  <c r="E84" i="1" s="1"/>
  <c r="O84" i="1" s="1"/>
  <c r="R84" i="1" s="1"/>
  <c r="T84" i="1" s="1"/>
  <c r="H83" i="1"/>
  <c r="H82" i="1"/>
  <c r="H81" i="1"/>
  <c r="H80" i="1"/>
  <c r="E80" i="1" s="1"/>
  <c r="O80" i="1" s="1"/>
  <c r="H78" i="1"/>
  <c r="H76" i="1"/>
  <c r="H75" i="1"/>
  <c r="H74" i="1"/>
  <c r="H72" i="1"/>
  <c r="H73" i="1" s="1"/>
  <c r="H70" i="1"/>
  <c r="H69" i="1"/>
  <c r="E69" i="1" s="1"/>
  <c r="O69" i="1" s="1"/>
  <c r="R69" i="1" s="1"/>
  <c r="T69" i="1" s="1"/>
  <c r="H68" i="1"/>
  <c r="H67" i="1"/>
  <c r="H66" i="1"/>
  <c r="H65" i="1"/>
  <c r="E65" i="1" s="1"/>
  <c r="O65" i="1" s="1"/>
  <c r="R65" i="1" s="1"/>
  <c r="T65" i="1" s="1"/>
  <c r="H64" i="1"/>
  <c r="E64" i="1" s="1"/>
  <c r="O64" i="1" s="1"/>
  <c r="R64" i="1" s="1"/>
  <c r="T64" i="1" s="1"/>
  <c r="H63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T37" i="1" s="1"/>
  <c r="H36" i="1"/>
  <c r="H35" i="1"/>
  <c r="H33" i="1"/>
  <c r="H32" i="1"/>
  <c r="H30" i="1"/>
  <c r="E30" i="1" s="1"/>
  <c r="H29" i="1"/>
  <c r="E29" i="1" s="1"/>
  <c r="H28" i="1"/>
  <c r="H27" i="1"/>
  <c r="H25" i="1"/>
  <c r="E25" i="1" s="1"/>
  <c r="H23" i="1"/>
  <c r="H13" i="1"/>
  <c r="E13" i="1" s="1"/>
  <c r="H12" i="1"/>
  <c r="E12" i="1" s="1"/>
  <c r="H11" i="1"/>
  <c r="G26" i="1"/>
  <c r="F26" i="1"/>
  <c r="D26" i="1"/>
  <c r="D22" i="1"/>
  <c r="T38" i="1" l="1"/>
  <c r="T42" i="1"/>
  <c r="T47" i="1"/>
  <c r="T51" i="1"/>
  <c r="T55" i="1"/>
  <c r="T59" i="1"/>
  <c r="T35" i="1"/>
  <c r="T39" i="1"/>
  <c r="E44" i="1"/>
  <c r="T44" i="1"/>
  <c r="E48" i="1"/>
  <c r="T48" i="1"/>
  <c r="E52" i="1"/>
  <c r="T52" i="1"/>
  <c r="E56" i="1"/>
  <c r="T56" i="1"/>
  <c r="E60" i="1"/>
  <c r="T60" i="1"/>
  <c r="R80" i="1"/>
  <c r="T80" i="1" s="1"/>
  <c r="E36" i="1"/>
  <c r="T36" i="1"/>
  <c r="E40" i="1"/>
  <c r="T40" i="1"/>
  <c r="E45" i="1"/>
  <c r="T45" i="1"/>
  <c r="E49" i="1"/>
  <c r="T49" i="1"/>
  <c r="T53" i="1"/>
  <c r="E57" i="1"/>
  <c r="T57" i="1"/>
  <c r="E41" i="1"/>
  <c r="T41" i="1"/>
  <c r="T46" i="1"/>
  <c r="T50" i="1"/>
  <c r="T54" i="1"/>
  <c r="T58" i="1"/>
  <c r="E37" i="1"/>
  <c r="K109" i="1"/>
  <c r="E53" i="1"/>
  <c r="E28" i="1"/>
  <c r="E31" i="1" s="1"/>
  <c r="E63" i="1"/>
  <c r="O63" i="1" s="1"/>
  <c r="E82" i="1"/>
  <c r="O82" i="1" s="1"/>
  <c r="R82" i="1" s="1"/>
  <c r="T82" i="1" s="1"/>
  <c r="E38" i="1"/>
  <c r="E54" i="1"/>
  <c r="E72" i="1"/>
  <c r="E73" i="1" s="1"/>
  <c r="E90" i="1"/>
  <c r="O90" i="1" s="1"/>
  <c r="R90" i="1" s="1"/>
  <c r="T90" i="1" s="1"/>
  <c r="E27" i="1"/>
  <c r="E81" i="1"/>
  <c r="O81" i="1" s="1"/>
  <c r="R81" i="1" s="1"/>
  <c r="T81" i="1" s="1"/>
  <c r="E99" i="1"/>
  <c r="E46" i="1"/>
  <c r="E100" i="1"/>
  <c r="H79" i="1"/>
  <c r="T79" i="1" s="1"/>
  <c r="H105" i="1"/>
  <c r="H34" i="1"/>
  <c r="D109" i="1"/>
  <c r="E11" i="1"/>
  <c r="E14" i="1" s="1"/>
  <c r="E32" i="1"/>
  <c r="E66" i="1"/>
  <c r="O66" i="1" s="1"/>
  <c r="R66" i="1" s="1"/>
  <c r="T66" i="1" s="1"/>
  <c r="E104" i="1"/>
  <c r="H108" i="1"/>
  <c r="E33" i="1"/>
  <c r="E42" i="1"/>
  <c r="E50" i="1"/>
  <c r="E58" i="1"/>
  <c r="E67" i="1"/>
  <c r="O67" i="1" s="1"/>
  <c r="R67" i="1" s="1"/>
  <c r="T67" i="1" s="1"/>
  <c r="E86" i="1"/>
  <c r="O86" i="1" s="1"/>
  <c r="R86" i="1" s="1"/>
  <c r="T86" i="1" s="1"/>
  <c r="E94" i="1"/>
  <c r="O94" i="1" s="1"/>
  <c r="R94" i="1" s="1"/>
  <c r="T94" i="1" s="1"/>
  <c r="E108" i="1"/>
  <c r="H71" i="1"/>
  <c r="F109" i="1"/>
  <c r="E23" i="1"/>
  <c r="E35" i="1"/>
  <c r="E39" i="1"/>
  <c r="E47" i="1"/>
  <c r="E51" i="1"/>
  <c r="E55" i="1"/>
  <c r="E59" i="1"/>
  <c r="E68" i="1"/>
  <c r="O68" i="1" s="1"/>
  <c r="R68" i="1" s="1"/>
  <c r="T68" i="1" s="1"/>
  <c r="E83" i="1"/>
  <c r="O83" i="1" s="1"/>
  <c r="R83" i="1" s="1"/>
  <c r="T83" i="1" s="1"/>
  <c r="E87" i="1"/>
  <c r="O87" i="1" s="1"/>
  <c r="R87" i="1" s="1"/>
  <c r="T87" i="1" s="1"/>
  <c r="E91" i="1"/>
  <c r="O91" i="1" s="1"/>
  <c r="R91" i="1" s="1"/>
  <c r="T91" i="1" s="1"/>
  <c r="E95" i="1"/>
  <c r="O95" i="1" s="1"/>
  <c r="R95" i="1" s="1"/>
  <c r="T95" i="1" s="1"/>
  <c r="E102" i="1"/>
  <c r="H22" i="1"/>
  <c r="H14" i="1"/>
  <c r="H31" i="1"/>
  <c r="H101" i="1"/>
  <c r="H97" i="1"/>
  <c r="R63" i="1" l="1"/>
  <c r="T63" i="1" s="1"/>
  <c r="O71" i="1"/>
  <c r="R71" i="1" s="1"/>
  <c r="T22" i="1"/>
  <c r="T71" i="1"/>
  <c r="T108" i="1"/>
  <c r="E34" i="1"/>
  <c r="E101" i="1"/>
  <c r="E105" i="1"/>
  <c r="E71" i="1"/>
  <c r="E22" i="1"/>
  <c r="E79" i="1"/>
  <c r="E26" i="1" l="1"/>
  <c r="H26" i="1"/>
  <c r="H24" i="1"/>
  <c r="E85" i="1" l="1"/>
  <c r="G97" i="1"/>
  <c r="G109" i="1"/>
  <c r="T43" i="1"/>
  <c r="H61" i="1"/>
  <c r="E61" i="1"/>
  <c r="E97" i="1" l="1"/>
  <c r="E109" i="1" s="1"/>
  <c r="O85" i="1"/>
  <c r="T61" i="1"/>
  <c r="H109" i="1"/>
  <c r="R85" i="1" l="1"/>
  <c r="T85" i="1" s="1"/>
  <c r="O97" i="1"/>
  <c r="O109" i="1" l="1"/>
  <c r="R109" i="1" s="1"/>
  <c r="T109" i="1" s="1"/>
  <c r="R97" i="1"/>
  <c r="T97" i="1" s="1"/>
</calcChain>
</file>

<file path=xl/sharedStrings.xml><?xml version="1.0" encoding="utf-8"?>
<sst xmlns="http://schemas.openxmlformats.org/spreadsheetml/2006/main" count="316" uniqueCount="235">
  <si>
    <t>№ п/п</t>
  </si>
  <si>
    <t>Наименование муниципального образования</t>
  </si>
  <si>
    <t>Наименование проекта</t>
  </si>
  <si>
    <t>Сумма софинансирования из областного бюджета согласно общей стоимости проекта, руб.</t>
  </si>
  <si>
    <t>Спил деревьев в Судском сельском поселении</t>
  </si>
  <si>
    <t>          3.         </t>
  </si>
  <si>
    <t>примечание</t>
  </si>
  <si>
    <t>Общая стоимость проекта, руб.</t>
  </si>
  <si>
    <t>Собственные средства бюджета поселения/района, руб.</t>
  </si>
  <si>
    <t xml:space="preserve">Абакановское сельское поселение </t>
  </si>
  <si>
    <t>Муниципальное образование Воскресенское</t>
  </si>
  <si>
    <t>Климовское сельское поселение</t>
  </si>
  <si>
    <t>Малечкинское сельское поселение</t>
  </si>
  <si>
    <t xml:space="preserve">Муниципальное образование Мяксинское </t>
  </si>
  <si>
    <t>Судское сельское поселение</t>
  </si>
  <si>
    <t xml:space="preserve">Ягановское сельское поселение </t>
  </si>
  <si>
    <t>Устройство пешеходной дорожки в с. Абаканово от ул. Октябрьской до ул. Костромцова</t>
  </si>
  <si>
    <t>всего по Абакановскому с/п (3 проекта)</t>
  </si>
  <si>
    <t>4.</t>
  </si>
  <si>
    <t>5.</t>
  </si>
  <si>
    <t>6.</t>
  </si>
  <si>
    <t>Детская площадка</t>
  </si>
  <si>
    <t>Оранжевое солнце</t>
  </si>
  <si>
    <t>Сказочная страна</t>
  </si>
  <si>
    <t>7.</t>
  </si>
  <si>
    <t>8.</t>
  </si>
  <si>
    <t>9.</t>
  </si>
  <si>
    <t>10.</t>
  </si>
  <si>
    <t>11.</t>
  </si>
  <si>
    <t>12.</t>
  </si>
  <si>
    <t>13.</t>
  </si>
  <si>
    <t>Объект малой архитектурной формы: мемориальная стелла памяти Героя Советского Союза Гаврилова Петра Ивановича</t>
  </si>
  <si>
    <t>Организация бллагоустройства территории поселения: приобретение и установка детской горки и уличного детского спортивного комплекса</t>
  </si>
  <si>
    <t>Организация бллагоустройства территории поселения: приобретение и установка сруба колодца общего пользования</t>
  </si>
  <si>
    <t>Объект малой архитектурной формы: мемориальная стелла памяти Героя Советского Союза Моченкова Леонида  Ивановича и лиц, погибших в годы ВОВ при защите Отечества</t>
  </si>
  <si>
    <t>Организация благоустройства территории поселения: освещение улиц д. Романово</t>
  </si>
  <si>
    <t>всего по м/о Воскресенское (7 проектов)</t>
  </si>
  <si>
    <t>14.</t>
  </si>
  <si>
    <t>15.</t>
  </si>
  <si>
    <t>16.</t>
  </si>
  <si>
    <t>Благоустройство спортивной площадки в д. Ирдоматка Ирдоматского сельского поселения Череповенцкого муниципального района</t>
  </si>
  <si>
    <t>Ирдоматское сельское поселение</t>
  </si>
  <si>
    <t>Установка сети наружного освещения Центральной дороги протяженностью 900 метров</t>
  </si>
  <si>
    <t xml:space="preserve">Уличное освещение по ул. Молодежная и ул. Виноградная в д. Нова  Ирдоматского сельского поселения Череповецкого муниципального района </t>
  </si>
  <si>
    <t>всего по Ирдоматскому с/п (3 проекта)</t>
  </si>
  <si>
    <t>17.</t>
  </si>
  <si>
    <t>18.</t>
  </si>
  <si>
    <t>19.</t>
  </si>
  <si>
    <t>20.</t>
  </si>
  <si>
    <t>Детская площадка в д. Климовское</t>
  </si>
  <si>
    <t>Контейнерные площадки д. Климовское</t>
  </si>
  <si>
    <t>Памяти Героя СССР Сорокина Михаила Ивановича</t>
  </si>
  <si>
    <t>Спил аварийных деревьев</t>
  </si>
  <si>
    <t>всего по Климовскому с/п (4 проекта)</t>
  </si>
  <si>
    <t>21.</t>
  </si>
  <si>
    <t>22.</t>
  </si>
  <si>
    <t>23.</t>
  </si>
  <si>
    <t>Приобретение концертной обуви для танцевальных коллективов МУК "Малечкинское СКО"</t>
  </si>
  <si>
    <t>Работы по освещению сквера у Дома Культуры в п. Малечкино</t>
  </si>
  <si>
    <t>всего по Малечкинскому с/п (2 проекта)</t>
  </si>
  <si>
    <t>Благоустройство  д. Бараново</t>
  </si>
  <si>
    <t>Благоустройство  д. Вощажниково</t>
  </si>
  <si>
    <t>Благоустройство места отдыха жителей д. Малая Новинка</t>
  </si>
  <si>
    <t xml:space="preserve">Благоустройство места отдыха жителей с. Мякса на берегу Рыбинского водохранилища </t>
  </si>
  <si>
    <t>Благоустройство  д. Нянькино</t>
  </si>
  <si>
    <t>Сельский клуб - центр досуга населения</t>
  </si>
  <si>
    <t>Изготовление и установка контейнерной площадки в д. Демидово</t>
  </si>
  <si>
    <t>Изготовление и установка контейнерной площадки в д. Дорофеево</t>
  </si>
  <si>
    <t>Изготовление и установка контейнерной площадки в д. Лукинское</t>
  </si>
  <si>
    <t>Изготовление и установка контейнерной площадки в д. Ляпуново</t>
  </si>
  <si>
    <t>Изготовление и установка контейнерной площадки в д. Малая Новинка</t>
  </si>
  <si>
    <t>Изготовление и установка контейнерной площадки в д. Михалево</t>
  </si>
  <si>
    <t>Изготовление и установка контейнерной площадки в д. Музга</t>
  </si>
  <si>
    <t>Изготовление и установка контейнерной площадки в д. Новинка</t>
  </si>
  <si>
    <t>Изготовление и установка контейнерной площадки в д. Павлоково</t>
  </si>
  <si>
    <t>Изготовление и установка контейнерной площадки в д. Петряево</t>
  </si>
  <si>
    <t>Изготовление и установка контейнерной площадки в д. Плоское</t>
  </si>
  <si>
    <t>Изготовление и установка контейнерной площадки в д. Степанцево</t>
  </si>
  <si>
    <t>Изготовление и установка контейнерной площадки в д. Хантаново</t>
  </si>
  <si>
    <t>Изготовление и установка контейнерной площадки в д. Хмелевое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</si>
  <si>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</si>
  <si>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</si>
  <si>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</si>
  <si>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</si>
  <si>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</si>
  <si>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</si>
  <si>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</si>
  <si>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</si>
  <si>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</si>
  <si>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</si>
  <si>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</si>
  <si>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</si>
  <si>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</si>
  <si>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</si>
  <si>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</si>
  <si>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</si>
  <si>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</si>
  <si>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</si>
  <si>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</si>
  <si>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</si>
  <si>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</si>
  <si>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</si>
  <si>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Изготовление и установка контейнерной площадки в д. Шилово</t>
  </si>
  <si>
    <t>Изготовление и установка контейнерных площадок в с. Щетинское</t>
  </si>
  <si>
    <t>46.</t>
  </si>
  <si>
    <t>47.</t>
  </si>
  <si>
    <t>48.</t>
  </si>
  <si>
    <t>Пожарный водоем в д. Ляпуново</t>
  </si>
  <si>
    <t>Уличное освещение в д. Бараново</t>
  </si>
  <si>
    <t>Уличное освещение в д. Малая Новинка</t>
  </si>
  <si>
    <t>Всего по м/о Мяксинское (26 проектов)</t>
  </si>
  <si>
    <t>Приобретение оборудования для нового клуба в д. Большая Дора</t>
  </si>
  <si>
    <t>Изготовление и установка контейнерных площадок в деревне Большая Дора Судского сельского поселения</t>
  </si>
  <si>
    <t>Изготовление и установка контейнерных площадок в п. Кривец Судского сельского поселения</t>
  </si>
  <si>
    <t>Изготовление и установка контейнерных площадок в п. Суда на улицах Полевая, Строительная. Ленина и Садовая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</si>
  <si>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</si>
  <si>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</si>
  <si>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</si>
  <si>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</si>
  <si>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</si>
  <si>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</si>
  <si>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</si>
  <si>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</si>
  <si>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</si>
  <si>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Приобретение и установка детского и спортивного оборудования п. Суда мкр. Колония</t>
  </si>
  <si>
    <t>Приобретение и установка водоотводной трубы в п. Суда ул. Гагарина у д. 23</t>
  </si>
  <si>
    <t>Установка шкафов учета уличного освещения в д. Малая Дора Судского сельского поселения и замена обычных светильников на энергосберегающие</t>
  </si>
  <si>
    <t>Всего по Судскому с/п (9 проектов)</t>
  </si>
  <si>
    <t>Оборудование зоны семейного отдыха</t>
  </si>
  <si>
    <t>Всего по Тоншалово (1 проект)</t>
  </si>
  <si>
    <t>Благоустройство площадки для отдыха жителей деревни Верховье</t>
  </si>
  <si>
    <t>Изготовление и установка контейнерных площадок в д. Коротово по ул. Ленина и ул. Данилова</t>
  </si>
  <si>
    <t>59.</t>
  </si>
  <si>
    <t>60.</t>
  </si>
  <si>
    <t>61.</t>
  </si>
  <si>
    <t>62.</t>
  </si>
  <si>
    <t>63.</t>
  </si>
  <si>
    <t>64.</t>
  </si>
  <si>
    <t>65.</t>
  </si>
  <si>
    <t>Контейнерная площадка д. Ильмовик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</si>
  <si>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</si>
  <si>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</si>
  <si>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</si>
  <si>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</si>
  <si>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</si>
  <si>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</si>
  <si>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</si>
  <si>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</si>
  <si>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</si>
  <si>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</si>
  <si>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</si>
  <si>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</si>
  <si>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</si>
  <si>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</si>
  <si>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Контейнерная площадка п. Лесное</t>
  </si>
  <si>
    <t>Контейнерная площадка д. Рослино</t>
  </si>
  <si>
    <t>Контейнерная площадка д. Харино</t>
  </si>
  <si>
    <t>Контейнерная площадка д. Якушево</t>
  </si>
  <si>
    <t>Место встречи изменить нельзя</t>
  </si>
  <si>
    <t>Музыка нас связала</t>
  </si>
  <si>
    <t>Обелиск, посвященный ВОВ</t>
  </si>
  <si>
    <t>Плита Памяти д. Горка (этап 2)</t>
  </si>
  <si>
    <t>Чистка пожарного водоема с. Верховье</t>
  </si>
  <si>
    <t>Благоустройство подъездных путей к пожарному водоему</t>
  </si>
  <si>
    <t>Детская игровая площадка д. Якушево "Радуга"</t>
  </si>
  <si>
    <t>Уличное освещение д. Костяевка</t>
  </si>
  <si>
    <t>Уличное освещение д. Харино</t>
  </si>
  <si>
    <t>Юные дарования</t>
  </si>
  <si>
    <t>Устройство и чистка пожарного водоема и подъезда к нему в д. Павлово</t>
  </si>
  <si>
    <t>Обустройство детской спортивно-игровой площадки в д. Костенево</t>
  </si>
  <si>
    <t>Обустройство спортивной площадки в с. Яганово</t>
  </si>
  <si>
    <t>80.</t>
  </si>
  <si>
    <t>81.</t>
  </si>
  <si>
    <t>82.</t>
  </si>
  <si>
    <t>Изготовление и установка контейнерной площадки в д. Григорево</t>
  </si>
  <si>
    <t>Яргомжское сельское поселение</t>
  </si>
  <si>
    <t>всего по Яргомжскому сельскому поселению (3 проекта)</t>
  </si>
  <si>
    <t>муниципальное образование Югское</t>
  </si>
  <si>
    <t>всего по муниципальному образованию Югское (16 проектов)</t>
  </si>
  <si>
    <t>сельское поселение Уломское</t>
  </si>
  <si>
    <t>всего по сельскому поселению Уломское (5 проектов)</t>
  </si>
  <si>
    <t>всего по Ягановскому с/п (3 проекта)</t>
  </si>
  <si>
    <t>58.</t>
  </si>
  <si>
    <t>83.</t>
  </si>
  <si>
    <t>Строительство колодца в д. Кошта Малечкинского сельского поселения</t>
  </si>
  <si>
    <t>Строительство колодца в п.Суда (мкр.ДСК) на пересечении улиц Заводская-Молодежная</t>
  </si>
  <si>
    <t>всего по Череповецкому мунципальному району</t>
  </si>
  <si>
    <t>Череповецкий мунципальный район</t>
  </si>
  <si>
    <t>Организация благоустройства территории поселения: приобретение и установка гимнастической конструкции</t>
  </si>
  <si>
    <t>Изготовление и установка памятника воинам-землякам, погибшим в годы ВОВ, в с. Шухободь</t>
  </si>
  <si>
    <t>Организация благоустройства территории поселения: освещение улиц в д. Петрино</t>
  </si>
  <si>
    <t>1.</t>
  </si>
  <si>
    <t>2.</t>
  </si>
  <si>
    <t>Текущий ремонт пожарного подъезда к реке Солнцевка в д. Большая Дора</t>
  </si>
  <si>
    <t>Благоустройство детской дворовой площадки домов №№ 6, 4, 16 в д.Коротово</t>
  </si>
  <si>
    <t>Благоустройство площадки "Радуга" в д. Ионово</t>
  </si>
  <si>
    <t>Благоустройство площадки для отдыха в д. Верх</t>
  </si>
  <si>
    <t>Движение - жизнь</t>
  </si>
  <si>
    <t>Тоншаловское сельское поселение</t>
  </si>
  <si>
    <t>Пожертвования ЮЛ и ИП, руб.</t>
  </si>
  <si>
    <t>итого</t>
  </si>
  <si>
    <t xml:space="preserve"> Пожертвования граждан, руб.</t>
  </si>
  <si>
    <t>Капитальный ремонт стелы Героям Советсткого Союза - землякам Жукову М.П., Данилову С.П., Новожилову И.П. в селе Шухободь</t>
  </si>
  <si>
    <t>областные средства, руб.</t>
  </si>
  <si>
    <t xml:space="preserve"> пожерт-вования граждан, руб.</t>
  </si>
  <si>
    <t>пожерт-вования ЮЛ и ИП, руб.</t>
  </si>
  <si>
    <t>поступление областных средств по ППВО от 01.03.2021       № 239</t>
  </si>
  <si>
    <t>общая    стоимость проекта, руб.</t>
  </si>
  <si>
    <t>http://vologdaregion.ru/news/2020/9/14/na-vologodchine-startoval-priem-zayavok-v-narodnyy-byudzhet-na-2021-god</t>
  </si>
  <si>
    <t>http://www.vologda-oblast.ru/sobytija_i_meroprijatija/gosudarstvennye_premii_i_konkursy/itogi_konkursnogo_otbora_proekta_narodnyy_byudzhet_na_2021_god/</t>
  </si>
  <si>
    <t>http://www.vologda-oblast.ru/sobytija_i_meroprijatija/gosudarstvennye_premii_i_konkursy/itogi_konkursnogo_otbora_proekta_narodnyy_byudzhet_na_2021_god/?show=dokumenty</t>
  </si>
  <si>
    <t>Постановления Правительства области:</t>
  </si>
  <si>
    <t>http://docs.cntd.ru/document/561405071</t>
  </si>
  <si>
    <t xml:space="preserve">Все проекты прошли конкурсный отбор, участвуют в региональном проекте "Народный бюджет - 2021" согласно постановлениям Правительства Вологодской области от 01.03.2021 № 239 и от 12.04.2021 № 432 "Об определении муниципальных образований области, бюджетам которых предоставляются субсидии из областного бюджета на реализацию проекта "Народный бюджет", и распределении субсидий </t>
  </si>
  <si>
    <t>Проекты из ППВО от 01.03.2021 № 239 (первый транш) выделены</t>
  </si>
  <si>
    <t xml:space="preserve"> светло-оливкомым цветом, </t>
  </si>
  <si>
    <t xml:space="preserve">из ППВО от 12.04.2021 № 432 (второй транш) - </t>
  </si>
  <si>
    <t>бледно-персиковым.</t>
  </si>
  <si>
    <t>поступило обл.средств и пожертвований</t>
  </si>
  <si>
    <t xml:space="preserve">израсходовано </t>
  </si>
  <si>
    <t>собственные средства бюджета поселения/   района, руб.</t>
  </si>
  <si>
    <t>Зеленым цветом выделены исполненные проекты.</t>
  </si>
  <si>
    <t xml:space="preserve">Старт Проекта «Народный бюджет – 2021» в Вологодской области </t>
  </si>
  <si>
    <t>Итоги конкурсного отбора проекта «Народный бюджет» на 2021 год (84 проекта на территории Череповецкого муниципального района)</t>
  </si>
  <si>
    <t xml:space="preserve">от 20 мая 2019 года N 469 «Об утверждении государственной программы Вологодской области "Управление региональными финансами Вологодской области на 2021 - 2025 годы" </t>
  </si>
  <si>
    <t>% исполне-ния</t>
  </si>
  <si>
    <t>запланировано первоначально</t>
  </si>
  <si>
    <t>проект исполнен</t>
  </si>
  <si>
    <t>проект исполнен, сложилась экономия средств, неизрасходованные областные ср-ва и пожертвования возвращены</t>
  </si>
  <si>
    <t>поступление областных средств по ППВО от 12.04.2021            № 432 (с учётом возвратов)</t>
  </si>
  <si>
    <t>поступление пожертвований (с учётом возвратов)</t>
  </si>
  <si>
    <t>в поступлениях не учтено 500,00 остатка пожертвований 2020 года</t>
  </si>
  <si>
    <t>доля пожертвований граждан по факту</t>
  </si>
  <si>
    <t>Народный бюджет. Сводная информация по проектам 2021 года (старт проекта, итоги конкурсного отбора, НПА, план и факт на 31 декабря 2021).</t>
  </si>
  <si>
    <t>проект не исполнен в связи со значительным удорожанием стоимости проекта в течение года, возврат обл. средств в январе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</si>
</sst>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trike/>
      <sz val="1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2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20"/>
      <name val="Arial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rgb="FF0000FF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0" fontId="2" fillId="0" borderId="0" xfId="0" applyFont="1" applyFill="1"/>
    <xf numFmtId="0" fontId="2" fillId="2" borderId="0" xfId="0" applyFont="1" applyFill="1"/>
    <xf numFmtId="0" fontId="6" fillId="0" borderId="0" xfId="0" applyFont="1" applyFill="1"/>
    <xf numFmtId="0" fontId="2" fillId="0" borderId="0" xfId="0" applyFont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8" fillId="5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left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4" fontId="8" fillId="6" borderId="1" xfId="0" applyNumberFormat="1" applyFont="1" applyFill="1" applyBorder="1" applyAlignment="1">
      <alignment horizontal="right" vertical="center"/>
    </xf>
    <xf numFmtId="2" fontId="9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wrapText="1"/>
    </xf>
    <xf numFmtId="2" fontId="9" fillId="6" borderId="1" xfId="0" applyNumberFormat="1" applyFont="1" applyFill="1" applyBorder="1" applyAlignment="1">
      <alignment horizontal="right" vertical="center"/>
    </xf>
    <xf numFmtId="4" fontId="11" fillId="5" borderId="1" xfId="0" applyNumberFormat="1" applyFont="1" applyFill="1" applyBorder="1" applyAlignment="1" applyProtection="1">
      <alignment horizontal="right" vertical="center" wrapText="1"/>
      <protection locked="0"/>
    </xf>
    <xf numFmtId="2" fontId="9" fillId="6" borderId="8" xfId="0" applyNumberFormat="1" applyFont="1" applyFill="1" applyBorder="1" applyAlignment="1">
      <alignment horizontal="right" vertical="center"/>
    </xf>
    <xf numFmtId="4" fontId="11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8" fillId="5" borderId="1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 applyProtection="1">
      <alignment vertical="center" wrapText="1"/>
      <protection locked="0"/>
    </xf>
    <xf numFmtId="4" fontId="11" fillId="5" borderId="1" xfId="0" applyNumberFormat="1" applyFont="1" applyFill="1" applyBorder="1" applyAlignment="1" applyProtection="1">
      <alignment vertical="center" wrapText="1"/>
      <protection locked="0"/>
    </xf>
    <xf numFmtId="4" fontId="8" fillId="5" borderId="2" xfId="0" applyNumberFormat="1" applyFont="1" applyFill="1" applyBorder="1" applyAlignment="1">
      <alignment horizontal="right" vertical="center"/>
    </xf>
    <xf numFmtId="4" fontId="8" fillId="6" borderId="2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left" wrapText="1"/>
    </xf>
    <xf numFmtId="4" fontId="8" fillId="5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/>
    <xf numFmtId="4" fontId="12" fillId="4" borderId="1" xfId="0" applyNumberFormat="1" applyFont="1" applyFill="1" applyBorder="1" applyAlignment="1">
      <alignment horizontal="right" vertical="center"/>
    </xf>
    <xf numFmtId="4" fontId="1" fillId="6" borderId="1" xfId="0" applyNumberFormat="1" applyFont="1" applyFill="1" applyBorder="1" applyAlignment="1">
      <alignment horizontal="right" vertical="center" wrapText="1"/>
    </xf>
    <xf numFmtId="4" fontId="1" fillId="5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0" fontId="1" fillId="0" borderId="0" xfId="0" applyFont="1"/>
    <xf numFmtId="4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4" fontId="14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1" fillId="5" borderId="1" xfId="0" applyNumberFormat="1" applyFont="1" applyFill="1" applyBorder="1" applyAlignment="1">
      <alignment vertical="center" wrapText="1"/>
    </xf>
    <xf numFmtId="4" fontId="14" fillId="5" borderId="2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Border="1"/>
    <xf numFmtId="4" fontId="2" fillId="0" borderId="1" xfId="0" applyNumberFormat="1" applyFont="1" applyFill="1" applyBorder="1"/>
    <xf numFmtId="4" fontId="2" fillId="2" borderId="1" xfId="0" applyNumberFormat="1" applyFont="1" applyFill="1" applyBorder="1"/>
    <xf numFmtId="4" fontId="6" fillId="0" borderId="1" xfId="0" applyNumberFormat="1" applyFont="1" applyFill="1" applyBorder="1"/>
    <xf numFmtId="0" fontId="2" fillId="2" borderId="1" xfId="0" applyFont="1" applyFill="1" applyBorder="1"/>
    <xf numFmtId="4" fontId="12" fillId="7" borderId="1" xfId="0" applyNumberFormat="1" applyFont="1" applyFill="1" applyBorder="1" applyAlignment="1">
      <alignment horizontal="right" vertical="center"/>
    </xf>
    <xf numFmtId="4" fontId="2" fillId="8" borderId="1" xfId="0" applyNumberFormat="1" applyFont="1" applyFill="1" applyBorder="1"/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/>
    <xf numFmtId="0" fontId="17" fillId="6" borderId="6" xfId="0" applyFont="1" applyFill="1" applyBorder="1" applyAlignment="1"/>
    <xf numFmtId="0" fontId="7" fillId="2" borderId="9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9" xfId="0" applyFont="1" applyFill="1" applyBorder="1" applyAlignment="1"/>
    <xf numFmtId="0" fontId="13" fillId="2" borderId="9" xfId="0" applyFont="1" applyFill="1" applyBorder="1" applyAlignment="1"/>
    <xf numFmtId="0" fontId="8" fillId="2" borderId="9" xfId="0" applyFont="1" applyFill="1" applyBorder="1" applyAlignment="1">
      <alignment wrapText="1"/>
    </xf>
    <xf numFmtId="0" fontId="2" fillId="2" borderId="9" xfId="0" applyFont="1" applyFill="1" applyBorder="1"/>
    <xf numFmtId="0" fontId="10" fillId="2" borderId="4" xfId="0" applyFont="1" applyFill="1" applyBorder="1" applyAlignment="1"/>
    <xf numFmtId="0" fontId="13" fillId="2" borderId="4" xfId="0" applyFont="1" applyFill="1" applyBorder="1" applyAlignment="1"/>
    <xf numFmtId="0" fontId="8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15" fillId="2" borderId="9" xfId="1" applyFill="1" applyBorder="1" applyAlignment="1">
      <alignment vertical="center"/>
    </xf>
    <xf numFmtId="0" fontId="15" fillId="2" borderId="6" xfId="1" applyFill="1" applyBorder="1" applyAlignment="1">
      <alignment vertical="center"/>
    </xf>
    <xf numFmtId="0" fontId="10" fillId="2" borderId="6" xfId="0" applyFont="1" applyFill="1" applyBorder="1" applyAlignment="1"/>
    <xf numFmtId="0" fontId="13" fillId="2" borderId="6" xfId="0" applyFont="1" applyFill="1" applyBorder="1" applyAlignment="1"/>
    <xf numFmtId="0" fontId="8" fillId="2" borderId="6" xfId="0" applyFont="1" applyFill="1" applyBorder="1" applyAlignment="1">
      <alignment wrapText="1"/>
    </xf>
    <xf numFmtId="0" fontId="2" fillId="2" borderId="6" xfId="0" applyFont="1" applyFill="1" applyBorder="1"/>
    <xf numFmtId="0" fontId="10" fillId="2" borderId="0" xfId="0" applyFont="1" applyFill="1" applyBorder="1" applyAlignment="1"/>
    <xf numFmtId="0" fontId="13" fillId="2" borderId="0" xfId="0" applyFont="1" applyFill="1" applyBorder="1" applyAlignment="1"/>
    <xf numFmtId="0" fontId="8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17" fillId="2" borderId="6" xfId="0" applyFont="1" applyFill="1" applyBorder="1" applyAlignment="1"/>
    <xf numFmtId="0" fontId="16" fillId="2" borderId="6" xfId="1" applyFont="1" applyFill="1" applyBorder="1"/>
    <xf numFmtId="0" fontId="5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8" fillId="2" borderId="11" xfId="0" applyFont="1" applyFill="1" applyBorder="1" applyAlignment="1">
      <alignment vertical="center"/>
    </xf>
    <xf numFmtId="0" fontId="17" fillId="2" borderId="10" xfId="0" applyFont="1" applyFill="1" applyBorder="1" applyAlignment="1"/>
    <xf numFmtId="4" fontId="2" fillId="3" borderId="1" xfId="0" applyNumberFormat="1" applyFont="1" applyFill="1" applyBorder="1"/>
    <xf numFmtId="0" fontId="16" fillId="2" borderId="0" xfId="1" applyFont="1" applyFill="1" applyBorder="1" applyAlignment="1"/>
    <xf numFmtId="4" fontId="2" fillId="9" borderId="1" xfId="0" applyNumberFormat="1" applyFont="1" applyFill="1" applyBorder="1"/>
    <xf numFmtId="0" fontId="17" fillId="9" borderId="6" xfId="0" applyFont="1" applyFill="1" applyBorder="1" applyAlignment="1"/>
    <xf numFmtId="4" fontId="5" fillId="2" borderId="0" xfId="0" applyNumberFormat="1" applyFont="1" applyFill="1" applyBorder="1" applyAlignment="1">
      <alignment horizontal="center"/>
    </xf>
    <xf numFmtId="4" fontId="5" fillId="9" borderId="6" xfId="0" applyNumberFormat="1" applyFont="1" applyFill="1" applyBorder="1" applyAlignment="1"/>
    <xf numFmtId="4" fontId="5" fillId="2" borderId="6" xfId="0" applyNumberFormat="1" applyFont="1" applyFill="1" applyBorder="1" applyAlignment="1"/>
    <xf numFmtId="4" fontId="8" fillId="2" borderId="8" xfId="0" applyNumberFormat="1" applyFont="1" applyFill="1" applyBorder="1" applyAlignment="1">
      <alignment horizontal="center" vertical="center" wrapText="1"/>
    </xf>
    <xf numFmtId="4" fontId="1" fillId="8" borderId="8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2" fillId="0" borderId="1" xfId="0" applyFont="1" applyBorder="1"/>
    <xf numFmtId="0" fontId="5" fillId="0" borderId="1" xfId="0" applyFont="1" applyBorder="1"/>
    <xf numFmtId="4" fontId="12" fillId="8" borderId="1" xfId="0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wrapText="1"/>
    </xf>
    <xf numFmtId="0" fontId="2" fillId="9" borderId="1" xfId="0" applyFont="1" applyFill="1" applyBorder="1"/>
    <xf numFmtId="4" fontId="12" fillId="3" borderId="1" xfId="0" applyNumberFormat="1" applyFont="1" applyFill="1" applyBorder="1" applyAlignment="1">
      <alignment horizontal="right" vertical="center" wrapText="1"/>
    </xf>
    <xf numFmtId="0" fontId="12" fillId="3" borderId="3" xfId="0" applyFont="1" applyFill="1" applyBorder="1"/>
    <xf numFmtId="4" fontId="17" fillId="5" borderId="1" xfId="0" applyNumberFormat="1" applyFont="1" applyFill="1" applyBorder="1"/>
    <xf numFmtId="4" fontId="17" fillId="6" borderId="1" xfId="0" applyNumberFormat="1" applyFont="1" applyFill="1" applyBorder="1"/>
    <xf numFmtId="4" fontId="17" fillId="7" borderId="1" xfId="0" applyNumberFormat="1" applyFont="1" applyFill="1" applyBorder="1"/>
    <xf numFmtId="4" fontId="17" fillId="2" borderId="1" xfId="0" applyNumberFormat="1" applyFont="1" applyFill="1" applyBorder="1"/>
    <xf numFmtId="4" fontId="17" fillId="8" borderId="1" xfId="0" applyNumberFormat="1" applyFont="1" applyFill="1" applyBorder="1"/>
    <xf numFmtId="0" fontId="17" fillId="0" borderId="1" xfId="0" applyFont="1" applyBorder="1"/>
    <xf numFmtId="0" fontId="17" fillId="0" borderId="0" xfId="0" applyFont="1"/>
    <xf numFmtId="4" fontId="17" fillId="5" borderId="1" xfId="0" applyNumberFormat="1" applyFont="1" applyFill="1" applyBorder="1" applyAlignment="1">
      <alignment wrapText="1"/>
    </xf>
    <xf numFmtId="4" fontId="2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3" xfId="0" applyFont="1" applyBorder="1"/>
    <xf numFmtId="164" fontId="2" fillId="0" borderId="0" xfId="0" applyNumberFormat="1" applyFont="1"/>
    <xf numFmtId="0" fontId="2" fillId="9" borderId="1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/>
    </xf>
    <xf numFmtId="4" fontId="12" fillId="3" borderId="1" xfId="0" applyNumberFormat="1" applyFont="1" applyFill="1" applyBorder="1"/>
    <xf numFmtId="0" fontId="12" fillId="3" borderId="0" xfId="0" applyFont="1" applyFill="1" applyAlignment="1">
      <alignment horizontal="left"/>
    </xf>
    <xf numFmtId="0" fontId="20" fillId="0" borderId="3" xfId="0" applyFont="1" applyBorder="1"/>
    <xf numFmtId="4" fontId="12" fillId="5" borderId="1" xfId="0" applyNumberFormat="1" applyFont="1" applyFill="1" applyBorder="1" applyAlignment="1">
      <alignment horizontal="right" vertical="center"/>
    </xf>
    <xf numFmtId="4" fontId="12" fillId="6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/>
    <xf numFmtId="4" fontId="8" fillId="2" borderId="1" xfId="0" applyNumberFormat="1" applyFont="1" applyFill="1" applyBorder="1"/>
    <xf numFmtId="4" fontId="8" fillId="0" borderId="1" xfId="0" applyNumberFormat="1" applyFont="1" applyFill="1" applyBorder="1"/>
    <xf numFmtId="164" fontId="2" fillId="0" borderId="1" xfId="0" applyNumberFormat="1" applyFont="1" applyBorder="1"/>
    <xf numFmtId="164" fontId="17" fillId="0" borderId="1" xfId="0" applyNumberFormat="1" applyFont="1" applyBorder="1"/>
    <xf numFmtId="164" fontId="4" fillId="0" borderId="1" xfId="0" applyNumberFormat="1" applyFont="1" applyBorder="1"/>
    <xf numFmtId="4" fontId="17" fillId="9" borderId="1" xfId="0" applyNumberFormat="1" applyFont="1" applyFill="1" applyBorder="1"/>
    <xf numFmtId="0" fontId="17" fillId="9" borderId="1" xfId="0" applyFont="1" applyFill="1" applyBorder="1"/>
    <xf numFmtId="0" fontId="2" fillId="9" borderId="2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/>
    </xf>
    <xf numFmtId="2" fontId="23" fillId="6" borderId="1" xfId="0" applyNumberFormat="1" applyFont="1" applyFill="1" applyBorder="1" applyAlignment="1">
      <alignment horizontal="right" vertical="center"/>
    </xf>
    <xf numFmtId="2" fontId="23" fillId="6" borderId="0" xfId="0" applyNumberFormat="1" applyFont="1" applyFill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0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1" xfId="0" applyNumberFormat="1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center" wrapText="1"/>
    </xf>
    <xf numFmtId="164" fontId="2" fillId="10" borderId="1" xfId="0" applyNumberFormat="1" applyFont="1" applyFill="1" applyBorder="1"/>
    <xf numFmtId="0" fontId="2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horizontal="left"/>
    </xf>
    <xf numFmtId="4" fontId="8" fillId="2" borderId="3" xfId="0" applyNumberFormat="1" applyFont="1" applyFill="1" applyBorder="1"/>
    <xf numFmtId="0" fontId="3" fillId="9" borderId="3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/>
    <xf numFmtId="0" fontId="17" fillId="3" borderId="4" xfId="0" applyFont="1" applyFill="1" applyBorder="1" applyAlignment="1"/>
    <xf numFmtId="0" fontId="17" fillId="3" borderId="5" xfId="0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vertical="center" wrapText="1"/>
    </xf>
    <xf numFmtId="0" fontId="21" fillId="3" borderId="5" xfId="0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ologda-oblast.ru/sobytija_i_meroprijatija/gosudarstvennye_premii_i_konkursy/itogi_konkursnogo_otbora_proekta_narodnyy_byudzhet_na_2021_god/?show=dokumenty" TargetMode="External"/><Relationship Id="rId2" Type="http://schemas.openxmlformats.org/officeDocument/2006/relationships/hyperlink" Target="http://www.vologda-oblast.ru/sobytija_i_meroprijatija/gosudarstvennye_premii_i_konkursy/itogi_konkursnogo_otbora_proekta_narodnyy_byudzhet_na_2021_god/" TargetMode="External"/><Relationship Id="rId1" Type="http://schemas.openxmlformats.org/officeDocument/2006/relationships/hyperlink" Target="http://vologdaregion.ru/news/2020/9/14/na-vologodchine-startoval-priem-zayavok-v-narodnyy-byudzhet-na-2021-go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ocs.cntd.ru/document/561405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tabSelected="1" zoomScale="75" zoomScaleNormal="75" workbookViewId="0">
      <pane xSplit="2" ySplit="10" topLeftCell="D83" activePane="bottomRight" state="frozen"/>
      <selection pane="topRight" activeCell="C1" sqref="C1"/>
      <selection pane="bottomLeft" activeCell="A11" sqref="A11"/>
      <selection pane="bottomRight" activeCell="P18" sqref="P18"/>
    </sheetView>
  </sheetViews>
  <sheetFormatPr defaultColWidth="8.85546875" defaultRowHeight="12.75" x14ac:dyDescent="0.2"/>
  <cols>
    <col min="1" max="1" width="6.5703125" style="9" customWidth="1"/>
    <col min="2" max="2" width="23.28515625" style="9" customWidth="1"/>
    <col min="3" max="3" width="50.85546875" style="30" customWidth="1"/>
    <col min="4" max="4" width="20.28515625" style="29" customWidth="1"/>
    <col min="5" max="6" width="17.5703125" style="29" customWidth="1"/>
    <col min="7" max="7" width="18.42578125" style="29" customWidth="1"/>
    <col min="8" max="8" width="19" style="36" customWidth="1"/>
    <col min="9" max="9" width="21.42578125" style="29" customWidth="1"/>
    <col min="10" max="10" width="16.42578125" style="17" customWidth="1"/>
    <col min="11" max="11" width="16" style="1" customWidth="1"/>
    <col min="12" max="13" width="16.28515625" style="1" customWidth="1"/>
    <col min="14" max="14" width="16.42578125" style="5" customWidth="1"/>
    <col min="15" max="15" width="16.28515625" style="5" customWidth="1"/>
    <col min="16" max="16" width="16.7109375" style="5" bestFit="1" customWidth="1"/>
    <col min="17" max="17" width="14.28515625" style="5" bestFit="1" customWidth="1"/>
    <col min="18" max="18" width="19.5703125" style="5" bestFit="1" customWidth="1"/>
    <col min="19" max="19" width="27" style="1" customWidth="1"/>
    <col min="20" max="20" width="10.5703125" style="112" bestFit="1" customWidth="1"/>
    <col min="21" max="16384" width="8.85546875" style="1"/>
  </cols>
  <sheetData>
    <row r="1" spans="1:20" ht="26.25" x14ac:dyDescent="0.4">
      <c r="A1" s="78" t="s">
        <v>233</v>
      </c>
      <c r="B1" s="79"/>
      <c r="C1" s="80"/>
      <c r="D1" s="62"/>
      <c r="E1" s="62"/>
      <c r="F1" s="62"/>
      <c r="G1" s="62"/>
      <c r="H1" s="63"/>
      <c r="I1" s="62"/>
      <c r="J1" s="64"/>
      <c r="K1" s="65"/>
      <c r="L1" s="65"/>
      <c r="M1" s="65"/>
      <c r="N1" s="174"/>
      <c r="O1" s="174"/>
      <c r="P1" s="174"/>
      <c r="Q1" s="174"/>
      <c r="R1" s="174"/>
    </row>
    <row r="2" spans="1:20" ht="26.25" x14ac:dyDescent="0.4">
      <c r="A2" s="175" t="s">
        <v>222</v>
      </c>
      <c r="B2" s="176"/>
      <c r="C2" s="176"/>
      <c r="D2" s="77" t="s">
        <v>208</v>
      </c>
      <c r="E2" s="68"/>
      <c r="F2" s="68"/>
      <c r="G2" s="68"/>
      <c r="H2" s="69"/>
      <c r="I2" s="68"/>
      <c r="J2" s="70"/>
      <c r="K2" s="71"/>
      <c r="L2" s="71"/>
      <c r="M2" s="71"/>
      <c r="N2" s="87"/>
      <c r="O2" s="87"/>
      <c r="P2" s="87"/>
      <c r="Q2" s="87"/>
      <c r="R2" s="87"/>
    </row>
    <row r="3" spans="1:20" ht="26.25" x14ac:dyDescent="0.4">
      <c r="A3" s="179" t="s">
        <v>223</v>
      </c>
      <c r="B3" s="180"/>
      <c r="C3" s="180"/>
      <c r="D3" s="66" t="s">
        <v>209</v>
      </c>
      <c r="E3" s="58"/>
      <c r="F3" s="58"/>
      <c r="G3" s="58"/>
      <c r="H3" s="59"/>
      <c r="I3" s="58"/>
      <c r="J3" s="60"/>
      <c r="K3" s="61"/>
      <c r="L3" s="61"/>
      <c r="M3" s="61"/>
      <c r="N3" s="87"/>
      <c r="O3" s="87"/>
      <c r="P3" s="87"/>
      <c r="Q3" s="87"/>
      <c r="R3" s="87"/>
    </row>
    <row r="4" spans="1:20" ht="26.25" x14ac:dyDescent="0.4">
      <c r="A4" s="181"/>
      <c r="B4" s="182"/>
      <c r="C4" s="182"/>
      <c r="D4" s="67" t="s">
        <v>210</v>
      </c>
      <c r="E4" s="68"/>
      <c r="F4" s="68"/>
      <c r="G4" s="68"/>
      <c r="H4" s="69"/>
      <c r="I4" s="68"/>
      <c r="J4" s="70"/>
      <c r="K4" s="71"/>
      <c r="L4" s="71"/>
      <c r="M4" s="71"/>
      <c r="N4" s="87"/>
      <c r="O4" s="87"/>
      <c r="P4" s="87"/>
      <c r="Q4" s="87"/>
      <c r="R4" s="87"/>
    </row>
    <row r="5" spans="1:20" ht="26.25" x14ac:dyDescent="0.4">
      <c r="A5" s="81" t="s">
        <v>211</v>
      </c>
      <c r="B5" s="56"/>
      <c r="C5" s="57"/>
      <c r="D5" s="58"/>
      <c r="E5" s="58"/>
      <c r="F5" s="58"/>
      <c r="G5" s="58"/>
      <c r="H5" s="59"/>
      <c r="I5" s="58"/>
      <c r="J5" s="60"/>
      <c r="K5" s="61"/>
      <c r="L5" s="61"/>
      <c r="M5" s="61"/>
      <c r="N5" s="87"/>
      <c r="O5" s="87"/>
      <c r="P5" s="87"/>
      <c r="Q5" s="87"/>
      <c r="R5" s="87"/>
    </row>
    <row r="6" spans="1:20" ht="45" customHeight="1" x14ac:dyDescent="0.4">
      <c r="A6" s="177" t="s">
        <v>224</v>
      </c>
      <c r="B6" s="178"/>
      <c r="C6" s="178"/>
      <c r="D6" s="84" t="s">
        <v>212</v>
      </c>
      <c r="E6" s="72"/>
      <c r="F6" s="72"/>
      <c r="G6" s="72"/>
      <c r="H6" s="73"/>
      <c r="I6" s="72"/>
      <c r="J6" s="74"/>
      <c r="K6" s="75"/>
      <c r="L6" s="75"/>
      <c r="M6" s="75"/>
      <c r="N6" s="87"/>
      <c r="O6" s="87"/>
      <c r="P6" s="87"/>
      <c r="Q6" s="87"/>
      <c r="R6" s="87"/>
    </row>
    <row r="7" spans="1:20" ht="30" customHeight="1" x14ac:dyDescent="0.25">
      <c r="A7" s="177" t="s">
        <v>213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87"/>
      <c r="O7" s="87"/>
      <c r="P7" s="87"/>
      <c r="Q7" s="87"/>
      <c r="R7" s="87"/>
    </row>
    <row r="8" spans="1:20" ht="18" x14ac:dyDescent="0.25">
      <c r="A8" s="82" t="s">
        <v>214</v>
      </c>
      <c r="B8" s="76"/>
      <c r="C8" s="76"/>
      <c r="D8" s="54" t="s">
        <v>215</v>
      </c>
      <c r="E8" s="54"/>
      <c r="F8" s="76" t="s">
        <v>216</v>
      </c>
      <c r="G8" s="76"/>
      <c r="H8" s="76"/>
      <c r="I8" s="76"/>
      <c r="J8" s="55" t="s">
        <v>217</v>
      </c>
      <c r="K8" s="55"/>
      <c r="L8" s="86" t="s">
        <v>221</v>
      </c>
      <c r="M8" s="86"/>
      <c r="N8" s="88"/>
      <c r="O8" s="88"/>
      <c r="P8" s="88"/>
      <c r="Q8" s="89"/>
      <c r="R8" s="89"/>
    </row>
    <row r="9" spans="1:20" ht="15.75" x14ac:dyDescent="0.25">
      <c r="A9" s="194" t="s">
        <v>0</v>
      </c>
      <c r="B9" s="194" t="s">
        <v>1</v>
      </c>
      <c r="C9" s="169" t="s">
        <v>2</v>
      </c>
      <c r="D9" s="170" t="s">
        <v>226</v>
      </c>
      <c r="E9" s="170"/>
      <c r="F9" s="170"/>
      <c r="G9" s="170"/>
      <c r="H9" s="170"/>
      <c r="I9" s="170"/>
      <c r="J9" s="170"/>
      <c r="K9" s="171" t="s">
        <v>218</v>
      </c>
      <c r="L9" s="172"/>
      <c r="M9" s="173"/>
      <c r="N9" s="193" t="s">
        <v>219</v>
      </c>
      <c r="O9" s="193"/>
      <c r="P9" s="193"/>
      <c r="Q9" s="193"/>
      <c r="R9" s="193"/>
      <c r="S9" s="93" t="s">
        <v>6</v>
      </c>
      <c r="T9" s="183" t="s">
        <v>225</v>
      </c>
    </row>
    <row r="10" spans="1:20" ht="89.25" x14ac:dyDescent="0.2">
      <c r="A10" s="194"/>
      <c r="B10" s="194"/>
      <c r="C10" s="169"/>
      <c r="D10" s="48" t="s">
        <v>3</v>
      </c>
      <c r="E10" s="48" t="s">
        <v>8</v>
      </c>
      <c r="F10" s="48" t="s">
        <v>201</v>
      </c>
      <c r="G10" s="48" t="s">
        <v>199</v>
      </c>
      <c r="H10" s="49" t="s">
        <v>7</v>
      </c>
      <c r="I10" s="50" t="s">
        <v>6</v>
      </c>
      <c r="J10" s="48" t="s">
        <v>232</v>
      </c>
      <c r="K10" s="51" t="s">
        <v>206</v>
      </c>
      <c r="L10" s="52" t="s">
        <v>229</v>
      </c>
      <c r="M10" s="53" t="s">
        <v>230</v>
      </c>
      <c r="N10" s="90" t="s">
        <v>203</v>
      </c>
      <c r="O10" s="90" t="s">
        <v>220</v>
      </c>
      <c r="P10" s="90" t="s">
        <v>204</v>
      </c>
      <c r="Q10" s="90" t="s">
        <v>205</v>
      </c>
      <c r="R10" s="91" t="s">
        <v>207</v>
      </c>
      <c r="S10" s="93"/>
      <c r="T10" s="183"/>
    </row>
    <row r="11" spans="1:20" ht="25.5" x14ac:dyDescent="0.2">
      <c r="A11" s="98" t="s">
        <v>191</v>
      </c>
      <c r="B11" s="149" t="s">
        <v>9</v>
      </c>
      <c r="C11" s="13" t="s">
        <v>16</v>
      </c>
      <c r="D11" s="33">
        <v>411705</v>
      </c>
      <c r="E11" s="15">
        <f>H11-D11-F11-G11</f>
        <v>112445</v>
      </c>
      <c r="F11" s="15">
        <v>36000</v>
      </c>
      <c r="G11" s="16">
        <v>28000</v>
      </c>
      <c r="H11" s="33">
        <f>ROUND(D11/0.7,1)</f>
        <v>588150</v>
      </c>
      <c r="I11" s="142"/>
      <c r="J11" s="146">
        <f>P11/R11</f>
        <v>6.1208875286916604E-2</v>
      </c>
      <c r="K11" s="43"/>
      <c r="L11" s="43">
        <v>411705</v>
      </c>
      <c r="M11" s="43">
        <f>36000+28000</f>
        <v>64000</v>
      </c>
      <c r="N11" s="83">
        <v>411705</v>
      </c>
      <c r="O11" s="83">
        <v>112445</v>
      </c>
      <c r="P11" s="83">
        <v>36000</v>
      </c>
      <c r="Q11" s="83">
        <v>28000</v>
      </c>
      <c r="R11" s="85">
        <f>N11+O11+P11+Q11</f>
        <v>588150</v>
      </c>
      <c r="S11" s="99" t="s">
        <v>227</v>
      </c>
      <c r="T11" s="124">
        <f>R11/H11</f>
        <v>1</v>
      </c>
    </row>
    <row r="12" spans="1:20" ht="38.25" x14ac:dyDescent="0.2">
      <c r="A12" s="98" t="s">
        <v>192</v>
      </c>
      <c r="B12" s="150"/>
      <c r="C12" s="13" t="s">
        <v>202</v>
      </c>
      <c r="D12" s="33">
        <v>360269</v>
      </c>
      <c r="E12" s="15">
        <f>H12-D12-F12-G12</f>
        <v>72901</v>
      </c>
      <c r="F12" s="15">
        <v>49000</v>
      </c>
      <c r="G12" s="14">
        <v>32500</v>
      </c>
      <c r="H12" s="33">
        <f>ROUND(D12/0.7,1)</f>
        <v>514670</v>
      </c>
      <c r="I12" s="142"/>
      <c r="J12" s="146">
        <f>P12/R12</f>
        <v>9.5206637262712029E-2</v>
      </c>
      <c r="K12" s="41"/>
      <c r="L12" s="41">
        <v>360269</v>
      </c>
      <c r="M12" s="41">
        <f>49000+32500</f>
        <v>81500</v>
      </c>
      <c r="N12" s="83">
        <f>D12</f>
        <v>360269</v>
      </c>
      <c r="O12" s="83">
        <f t="shared" ref="O12:Q13" si="0">E12</f>
        <v>72901</v>
      </c>
      <c r="P12" s="83">
        <f t="shared" si="0"/>
        <v>49000</v>
      </c>
      <c r="Q12" s="83">
        <f t="shared" si="0"/>
        <v>32500</v>
      </c>
      <c r="R12" s="85">
        <f t="shared" ref="R12:R13" si="1">N12+O12+P12+Q12</f>
        <v>514670</v>
      </c>
      <c r="S12" s="129" t="s">
        <v>227</v>
      </c>
      <c r="T12" s="124">
        <f t="shared" ref="T12:T75" si="2">R12/H12</f>
        <v>1</v>
      </c>
    </row>
    <row r="13" spans="1:20" ht="30" customHeight="1" x14ac:dyDescent="0.2">
      <c r="A13" s="98" t="s">
        <v>5</v>
      </c>
      <c r="B13" s="150"/>
      <c r="C13" s="10" t="s">
        <v>189</v>
      </c>
      <c r="D13" s="34">
        <v>282433.90000000002</v>
      </c>
      <c r="E13" s="12">
        <f>H13-D13-F13-G13</f>
        <v>34843.099999999977</v>
      </c>
      <c r="F13" s="12">
        <v>48700</v>
      </c>
      <c r="G13" s="11">
        <v>37500</v>
      </c>
      <c r="H13" s="34">
        <f>ROUND(D13/0.7,1)</f>
        <v>403477</v>
      </c>
      <c r="I13" s="142"/>
      <c r="J13" s="146">
        <f>P13/R13</f>
        <v>0.12070080822450846</v>
      </c>
      <c r="K13" s="41">
        <f>D13</f>
        <v>282433.90000000002</v>
      </c>
      <c r="L13" s="41"/>
      <c r="M13" s="41">
        <f>48700+37500</f>
        <v>86200</v>
      </c>
      <c r="N13" s="83">
        <f t="shared" ref="N13" si="3">D13</f>
        <v>282433.90000000002</v>
      </c>
      <c r="O13" s="83">
        <f t="shared" si="0"/>
        <v>34843.099999999977</v>
      </c>
      <c r="P13" s="83">
        <f t="shared" si="0"/>
        <v>48700</v>
      </c>
      <c r="Q13" s="83">
        <f t="shared" si="0"/>
        <v>37500</v>
      </c>
      <c r="R13" s="85">
        <f t="shared" si="1"/>
        <v>403477</v>
      </c>
      <c r="S13" s="129" t="s">
        <v>227</v>
      </c>
      <c r="T13" s="124">
        <f t="shared" si="2"/>
        <v>1</v>
      </c>
    </row>
    <row r="14" spans="1:20" s="108" customFormat="1" ht="15.75" x14ac:dyDescent="0.25">
      <c r="A14" s="187" t="s">
        <v>17</v>
      </c>
      <c r="B14" s="187"/>
      <c r="C14" s="187"/>
      <c r="D14" s="100">
        <f>SUM(D11:D13)</f>
        <v>1054407.8999999999</v>
      </c>
      <c r="E14" s="100">
        <f>SUM(E11:E13)</f>
        <v>220189.09999999998</v>
      </c>
      <c r="F14" s="100">
        <f>SUM(F11:F13)</f>
        <v>133700</v>
      </c>
      <c r="G14" s="100">
        <f>SUM(G11:G13)</f>
        <v>98000</v>
      </c>
      <c r="H14" s="100">
        <f>SUM(H11:H13)</f>
        <v>1506297</v>
      </c>
      <c r="I14" s="101"/>
      <c r="J14" s="146">
        <f>P14/R14</f>
        <v>8.8760715848202582E-2</v>
      </c>
      <c r="K14" s="109">
        <f>K13</f>
        <v>282433.90000000002</v>
      </c>
      <c r="L14" s="103">
        <f>SUM(L11:L12)</f>
        <v>771974</v>
      </c>
      <c r="M14" s="104">
        <f>SUM(M11:M13)</f>
        <v>231700</v>
      </c>
      <c r="N14" s="105">
        <f>SUM(N11:N13)</f>
        <v>1054407.8999999999</v>
      </c>
      <c r="O14" s="105">
        <f>SUM(O11:O13)</f>
        <v>220189.09999999998</v>
      </c>
      <c r="P14" s="105">
        <f>SUM(P11:P13)</f>
        <v>133700</v>
      </c>
      <c r="Q14" s="105">
        <f>SUM(Q11:Q13)</f>
        <v>98000</v>
      </c>
      <c r="R14" s="127">
        <f>N14+O14+P14+Q14</f>
        <v>1506297</v>
      </c>
      <c r="S14" s="128"/>
      <c r="T14" s="124">
        <f t="shared" si="2"/>
        <v>1</v>
      </c>
    </row>
    <row r="15" spans="1:20" ht="38.25" x14ac:dyDescent="0.2">
      <c r="A15" s="96" t="s">
        <v>18</v>
      </c>
      <c r="B15" s="149" t="s">
        <v>10</v>
      </c>
      <c r="C15" s="13" t="s">
        <v>31</v>
      </c>
      <c r="D15" s="130">
        <v>35000</v>
      </c>
      <c r="E15" s="131">
        <v>10000</v>
      </c>
      <c r="F15" s="131">
        <v>2500</v>
      </c>
      <c r="G15" s="132">
        <v>2500</v>
      </c>
      <c r="H15" s="33">
        <f t="shared" ref="H15:H21" si="4">D15+E15+F15+G15</f>
        <v>50000</v>
      </c>
      <c r="I15" s="142"/>
      <c r="J15" s="146">
        <f>P15/R15</f>
        <v>0.05</v>
      </c>
      <c r="K15" s="41"/>
      <c r="L15" s="41">
        <v>35000</v>
      </c>
      <c r="M15" s="41">
        <f>5000</f>
        <v>5000</v>
      </c>
      <c r="N15" s="83">
        <v>35000</v>
      </c>
      <c r="O15" s="83">
        <v>10000</v>
      </c>
      <c r="P15" s="83">
        <v>2500</v>
      </c>
      <c r="Q15" s="83">
        <v>2500</v>
      </c>
      <c r="R15" s="85">
        <f t="shared" ref="R15:R20" si="5">N15+O15+P15+Q15</f>
        <v>50000</v>
      </c>
      <c r="S15" s="129" t="s">
        <v>227</v>
      </c>
      <c r="T15" s="124">
        <f t="shared" si="2"/>
        <v>1</v>
      </c>
    </row>
    <row r="16" spans="1:20" ht="76.5" x14ac:dyDescent="0.2">
      <c r="A16" s="138" t="s">
        <v>19</v>
      </c>
      <c r="B16" s="150"/>
      <c r="C16" s="13" t="s">
        <v>32</v>
      </c>
      <c r="D16" s="130">
        <v>18025</v>
      </c>
      <c r="E16" s="131">
        <v>6437.5</v>
      </c>
      <c r="F16" s="131">
        <v>1287.5</v>
      </c>
      <c r="G16" s="133"/>
      <c r="H16" s="33">
        <f t="shared" si="4"/>
        <v>25750</v>
      </c>
      <c r="I16" s="142"/>
      <c r="J16" s="146"/>
      <c r="K16" s="41"/>
      <c r="L16" s="41">
        <v>18025</v>
      </c>
      <c r="M16" s="41">
        <v>1287.5</v>
      </c>
      <c r="N16" s="83">
        <v>0</v>
      </c>
      <c r="O16" s="83">
        <v>0</v>
      </c>
      <c r="P16" s="83">
        <v>0</v>
      </c>
      <c r="Q16" s="83">
        <v>0</v>
      </c>
      <c r="R16" s="47">
        <f t="shared" si="5"/>
        <v>0</v>
      </c>
      <c r="S16" s="137" t="s">
        <v>234</v>
      </c>
      <c r="T16" s="139">
        <f t="shared" si="2"/>
        <v>0</v>
      </c>
    </row>
    <row r="17" spans="1:20" ht="38.25" x14ac:dyDescent="0.2">
      <c r="A17" s="96" t="s">
        <v>20</v>
      </c>
      <c r="B17" s="150"/>
      <c r="C17" s="10" t="s">
        <v>33</v>
      </c>
      <c r="D17" s="134">
        <v>10290</v>
      </c>
      <c r="E17" s="134">
        <v>0</v>
      </c>
      <c r="F17" s="135">
        <v>4410</v>
      </c>
      <c r="G17" s="134"/>
      <c r="H17" s="34">
        <f t="shared" si="4"/>
        <v>14700</v>
      </c>
      <c r="I17" s="142"/>
      <c r="J17" s="146">
        <f t="shared" ref="J17:J35" si="6">P17/R17</f>
        <v>0.3</v>
      </c>
      <c r="K17" s="41">
        <f>D17</f>
        <v>10290</v>
      </c>
      <c r="L17" s="41"/>
      <c r="M17" s="41">
        <v>4410</v>
      </c>
      <c r="N17" s="83">
        <v>10290</v>
      </c>
      <c r="O17" s="83">
        <v>0</v>
      </c>
      <c r="P17" s="83">
        <v>4410</v>
      </c>
      <c r="Q17" s="83">
        <v>0</v>
      </c>
      <c r="R17" s="85">
        <f t="shared" si="5"/>
        <v>14700</v>
      </c>
      <c r="S17" s="129" t="s">
        <v>227</v>
      </c>
      <c r="T17" s="124">
        <f t="shared" si="2"/>
        <v>1</v>
      </c>
    </row>
    <row r="18" spans="1:20" ht="51.75" customHeight="1" x14ac:dyDescent="0.2">
      <c r="A18" s="96" t="s">
        <v>24</v>
      </c>
      <c r="B18" s="150"/>
      <c r="C18" s="13" t="s">
        <v>34</v>
      </c>
      <c r="D18" s="130">
        <v>33973.800000000003</v>
      </c>
      <c r="E18" s="131">
        <v>12133.5</v>
      </c>
      <c r="F18" s="131">
        <v>2426.6999999999998</v>
      </c>
      <c r="G18" s="133"/>
      <c r="H18" s="33">
        <f t="shared" si="4"/>
        <v>48534</v>
      </c>
      <c r="I18" s="142"/>
      <c r="J18" s="146">
        <f t="shared" si="6"/>
        <v>4.9999999999999996E-2</v>
      </c>
      <c r="K18" s="41"/>
      <c r="L18" s="41">
        <v>33973.800000000003</v>
      </c>
      <c r="M18" s="41">
        <v>2426.6999999999998</v>
      </c>
      <c r="N18" s="83">
        <v>33973.800000000003</v>
      </c>
      <c r="O18" s="83">
        <v>12133.5</v>
      </c>
      <c r="P18" s="83">
        <v>2426.6999999999998</v>
      </c>
      <c r="Q18" s="83">
        <v>0</v>
      </c>
      <c r="R18" s="85">
        <f t="shared" si="5"/>
        <v>48534</v>
      </c>
      <c r="S18" s="99" t="s">
        <v>227</v>
      </c>
      <c r="T18" s="124">
        <f t="shared" si="2"/>
        <v>1</v>
      </c>
    </row>
    <row r="19" spans="1:20" ht="27.75" customHeight="1" x14ac:dyDescent="0.2">
      <c r="A19" s="96" t="s">
        <v>25</v>
      </c>
      <c r="B19" s="150"/>
      <c r="C19" s="10" t="s">
        <v>190</v>
      </c>
      <c r="D19" s="136">
        <v>105000</v>
      </c>
      <c r="E19" s="134">
        <v>30000</v>
      </c>
      <c r="F19" s="134">
        <v>15000</v>
      </c>
      <c r="G19" s="134"/>
      <c r="H19" s="34">
        <f t="shared" si="4"/>
        <v>150000</v>
      </c>
      <c r="I19" s="142"/>
      <c r="J19" s="146">
        <f t="shared" si="6"/>
        <v>0.10004054976950656</v>
      </c>
      <c r="K19" s="41">
        <f>D19</f>
        <v>105000</v>
      </c>
      <c r="L19" s="41"/>
      <c r="M19" s="41">
        <v>15000</v>
      </c>
      <c r="N19" s="83">
        <v>105000</v>
      </c>
      <c r="O19" s="83">
        <v>29939.200000000001</v>
      </c>
      <c r="P19" s="83">
        <v>15000</v>
      </c>
      <c r="Q19" s="83">
        <v>0</v>
      </c>
      <c r="R19" s="85">
        <f t="shared" si="5"/>
        <v>149939.20000000001</v>
      </c>
      <c r="S19" s="99" t="s">
        <v>227</v>
      </c>
      <c r="T19" s="124">
        <f t="shared" si="2"/>
        <v>0.99959466666666674</v>
      </c>
    </row>
    <row r="20" spans="1:20" ht="28.5" customHeight="1" x14ac:dyDescent="0.2">
      <c r="A20" s="96" t="s">
        <v>26</v>
      </c>
      <c r="B20" s="150"/>
      <c r="C20" s="10" t="s">
        <v>35</v>
      </c>
      <c r="D20" s="136">
        <v>206500</v>
      </c>
      <c r="E20" s="134">
        <v>27375</v>
      </c>
      <c r="F20" s="134">
        <v>39000</v>
      </c>
      <c r="G20" s="134">
        <v>22125</v>
      </c>
      <c r="H20" s="34">
        <f t="shared" si="4"/>
        <v>295000</v>
      </c>
      <c r="I20" s="142"/>
      <c r="J20" s="146">
        <f t="shared" si="6"/>
        <v>0.13220338983050847</v>
      </c>
      <c r="K20" s="41">
        <f>D20</f>
        <v>206500</v>
      </c>
      <c r="L20" s="41"/>
      <c r="M20" s="41">
        <f>F20+G20</f>
        <v>61125</v>
      </c>
      <c r="N20" s="83">
        <v>206500</v>
      </c>
      <c r="O20" s="83">
        <v>27375</v>
      </c>
      <c r="P20" s="83">
        <v>39000</v>
      </c>
      <c r="Q20" s="83">
        <v>22125</v>
      </c>
      <c r="R20" s="85">
        <f t="shared" si="5"/>
        <v>295000</v>
      </c>
      <c r="S20" s="99" t="s">
        <v>227</v>
      </c>
      <c r="T20" s="124">
        <f t="shared" si="2"/>
        <v>1</v>
      </c>
    </row>
    <row r="21" spans="1:20" ht="45" customHeight="1" x14ac:dyDescent="0.2">
      <c r="A21" s="96" t="s">
        <v>27</v>
      </c>
      <c r="B21" s="151"/>
      <c r="C21" s="10" t="s">
        <v>188</v>
      </c>
      <c r="D21" s="136">
        <v>38500</v>
      </c>
      <c r="E21" s="134">
        <v>0</v>
      </c>
      <c r="F21" s="134">
        <v>16500</v>
      </c>
      <c r="G21" s="134"/>
      <c r="H21" s="34">
        <f t="shared" si="4"/>
        <v>55000</v>
      </c>
      <c r="I21" s="142"/>
      <c r="J21" s="146">
        <f t="shared" si="6"/>
        <v>0.3</v>
      </c>
      <c r="K21" s="43">
        <f>D21</f>
        <v>38500</v>
      </c>
      <c r="L21" s="43"/>
      <c r="M21" s="43">
        <v>16500</v>
      </c>
      <c r="N21" s="83">
        <v>38500</v>
      </c>
      <c r="O21" s="83"/>
      <c r="P21" s="83">
        <v>16500</v>
      </c>
      <c r="Q21" s="83"/>
      <c r="R21" s="85">
        <f>N21+O21+P21+Q21</f>
        <v>55000</v>
      </c>
      <c r="S21" s="99" t="s">
        <v>227</v>
      </c>
      <c r="T21" s="124">
        <f t="shared" si="2"/>
        <v>1</v>
      </c>
    </row>
    <row r="22" spans="1:20" s="108" customFormat="1" ht="15.75" x14ac:dyDescent="0.25">
      <c r="A22" s="187" t="s">
        <v>36</v>
      </c>
      <c r="B22" s="187"/>
      <c r="C22" s="187"/>
      <c r="D22" s="100">
        <f>SUM(D15:D21)</f>
        <v>447288.8</v>
      </c>
      <c r="E22" s="100">
        <f>SUM(E15:E21)</f>
        <v>85946</v>
      </c>
      <c r="F22" s="100">
        <f>SUM(F15:F21)</f>
        <v>81124.2</v>
      </c>
      <c r="G22" s="100">
        <f>SUM(G15:G21)</f>
        <v>24625</v>
      </c>
      <c r="H22" s="100">
        <f>SUM(H15:H21)</f>
        <v>638984</v>
      </c>
      <c r="I22" s="101"/>
      <c r="J22" s="146">
        <f t="shared" si="6"/>
        <v>0.13020252679014674</v>
      </c>
      <c r="K22" s="102">
        <f>K17+K19+K20+K21</f>
        <v>360290</v>
      </c>
      <c r="L22" s="103">
        <f>L15+L16+L18</f>
        <v>86998.8</v>
      </c>
      <c r="M22" s="104">
        <f t="shared" ref="M22:R22" si="7">SUM(M15:M21)</f>
        <v>105749.2</v>
      </c>
      <c r="N22" s="105">
        <f t="shared" si="7"/>
        <v>429263.8</v>
      </c>
      <c r="O22" s="105">
        <f t="shared" si="7"/>
        <v>79447.7</v>
      </c>
      <c r="P22" s="105">
        <f t="shared" si="7"/>
        <v>79836.7</v>
      </c>
      <c r="Q22" s="105">
        <f t="shared" si="7"/>
        <v>24625</v>
      </c>
      <c r="R22" s="106">
        <f t="shared" si="7"/>
        <v>613173.19999999995</v>
      </c>
      <c r="S22" s="107"/>
      <c r="T22" s="124">
        <f t="shared" si="2"/>
        <v>0.95960650031925676</v>
      </c>
    </row>
    <row r="23" spans="1:20" ht="38.25" x14ac:dyDescent="0.2">
      <c r="A23" s="96" t="s">
        <v>28</v>
      </c>
      <c r="B23" s="149" t="s">
        <v>41</v>
      </c>
      <c r="C23" s="13" t="s">
        <v>40</v>
      </c>
      <c r="D23" s="33">
        <v>413000</v>
      </c>
      <c r="E23" s="15">
        <f>H23-D23-F23-G23</f>
        <v>147500</v>
      </c>
      <c r="F23" s="15">
        <v>29500</v>
      </c>
      <c r="G23" s="18"/>
      <c r="H23" s="33">
        <f>ROUND(D23/0.7,1)</f>
        <v>590000</v>
      </c>
      <c r="I23" s="142"/>
      <c r="J23" s="146">
        <f t="shared" si="6"/>
        <v>0.05</v>
      </c>
      <c r="K23" s="41"/>
      <c r="L23" s="41">
        <v>413000</v>
      </c>
      <c r="M23" s="41">
        <v>29500</v>
      </c>
      <c r="N23" s="83">
        <v>413000</v>
      </c>
      <c r="O23" s="83">
        <v>147500</v>
      </c>
      <c r="P23" s="83">
        <v>29500</v>
      </c>
      <c r="Q23" s="83">
        <v>0</v>
      </c>
      <c r="R23" s="85">
        <f t="shared" ref="R23:R25" si="8">N23+O23+P23+Q23</f>
        <v>590000</v>
      </c>
      <c r="S23" s="99"/>
      <c r="T23" s="124">
        <f t="shared" si="2"/>
        <v>1</v>
      </c>
    </row>
    <row r="24" spans="1:20" ht="79.5" customHeight="1" x14ac:dyDescent="0.2">
      <c r="A24" s="96" t="s">
        <v>29</v>
      </c>
      <c r="B24" s="150"/>
      <c r="C24" s="13" t="s">
        <v>42</v>
      </c>
      <c r="D24" s="33">
        <v>700000</v>
      </c>
      <c r="E24" s="15">
        <v>311289.25</v>
      </c>
      <c r="F24" s="15">
        <v>53225.75</v>
      </c>
      <c r="G24" s="18"/>
      <c r="H24" s="33">
        <f>D24+E24+F24</f>
        <v>1064515</v>
      </c>
      <c r="I24" s="142"/>
      <c r="J24" s="146">
        <f t="shared" si="6"/>
        <v>5.0000003941517657E-2</v>
      </c>
      <c r="K24" s="41"/>
      <c r="L24" s="41">
        <f>700000-167210.3</f>
        <v>532789.69999999995</v>
      </c>
      <c r="M24" s="41">
        <f>54000-15943.59</f>
        <v>38056.410000000003</v>
      </c>
      <c r="N24" s="83">
        <v>532789.69999999995</v>
      </c>
      <c r="O24" s="83">
        <v>190282.03</v>
      </c>
      <c r="P24" s="83">
        <v>38056.410000000003</v>
      </c>
      <c r="Q24" s="83">
        <v>0</v>
      </c>
      <c r="R24" s="85">
        <f t="shared" si="8"/>
        <v>761128.14</v>
      </c>
      <c r="S24" s="140" t="s">
        <v>228</v>
      </c>
      <c r="T24" s="124">
        <f t="shared" si="2"/>
        <v>0.71499992015143043</v>
      </c>
    </row>
    <row r="25" spans="1:20" ht="40.5" customHeight="1" x14ac:dyDescent="0.2">
      <c r="A25" s="96" t="s">
        <v>30</v>
      </c>
      <c r="B25" s="151"/>
      <c r="C25" s="13" t="s">
        <v>43</v>
      </c>
      <c r="D25" s="33">
        <v>348506.9</v>
      </c>
      <c r="E25" s="15">
        <f>H25-D25-F25-G25</f>
        <v>124466.74999999997</v>
      </c>
      <c r="F25" s="15">
        <v>24893.35</v>
      </c>
      <c r="G25" s="20"/>
      <c r="H25" s="33">
        <f>ROUND(D25/0.7,1)</f>
        <v>497867</v>
      </c>
      <c r="I25" s="142"/>
      <c r="J25" s="146">
        <f t="shared" si="6"/>
        <v>4.9999999999999996E-2</v>
      </c>
      <c r="K25" s="43"/>
      <c r="L25" s="43">
        <v>348506.9</v>
      </c>
      <c r="M25" s="43">
        <v>24893.35</v>
      </c>
      <c r="N25" s="83">
        <v>348506.9</v>
      </c>
      <c r="O25" s="83">
        <v>124466.75</v>
      </c>
      <c r="P25" s="83">
        <v>24893.35</v>
      </c>
      <c r="Q25" s="83"/>
      <c r="R25" s="85">
        <f t="shared" si="8"/>
        <v>497867</v>
      </c>
      <c r="S25" s="99" t="s">
        <v>227</v>
      </c>
      <c r="T25" s="124">
        <f t="shared" si="2"/>
        <v>1</v>
      </c>
    </row>
    <row r="26" spans="1:20" s="108" customFormat="1" ht="15.75" x14ac:dyDescent="0.25">
      <c r="A26" s="157" t="s">
        <v>44</v>
      </c>
      <c r="B26" s="158"/>
      <c r="C26" s="159"/>
      <c r="D26" s="100">
        <f>SUM(D23:D25)</f>
        <v>1461506.9</v>
      </c>
      <c r="E26" s="100">
        <f>SUM(E23:E25)</f>
        <v>583256</v>
      </c>
      <c r="F26" s="100">
        <f>SUM(F23:F25)</f>
        <v>107619.1</v>
      </c>
      <c r="G26" s="100">
        <f>SUM(G23:G25)</f>
        <v>0</v>
      </c>
      <c r="H26" s="100">
        <f>SUM(H23:H25)</f>
        <v>2152382</v>
      </c>
      <c r="I26" s="101"/>
      <c r="J26" s="146">
        <f t="shared" si="6"/>
        <v>5.0000001622502913E-2</v>
      </c>
      <c r="K26" s="102">
        <f>0</f>
        <v>0</v>
      </c>
      <c r="L26" s="103">
        <f t="shared" ref="L26:Q26" si="9">SUM(L23:L25)</f>
        <v>1294296.6000000001</v>
      </c>
      <c r="M26" s="104">
        <f t="shared" si="9"/>
        <v>92449.760000000009</v>
      </c>
      <c r="N26" s="105">
        <f t="shared" si="9"/>
        <v>1294296.6000000001</v>
      </c>
      <c r="O26" s="105">
        <f t="shared" si="9"/>
        <v>462248.78</v>
      </c>
      <c r="P26" s="105">
        <f t="shared" si="9"/>
        <v>92449.760000000009</v>
      </c>
      <c r="Q26" s="105">
        <f t="shared" si="9"/>
        <v>0</v>
      </c>
      <c r="R26" s="106">
        <f>N26+O26+P26+Q26</f>
        <v>1848995.1400000001</v>
      </c>
      <c r="S26" s="45"/>
      <c r="T26" s="124">
        <f t="shared" si="2"/>
        <v>0.85904599648203717</v>
      </c>
    </row>
    <row r="27" spans="1:20" ht="15.75" x14ac:dyDescent="0.2">
      <c r="A27" s="96" t="s">
        <v>37</v>
      </c>
      <c r="B27" s="149" t="s">
        <v>11</v>
      </c>
      <c r="C27" s="13" t="s">
        <v>49</v>
      </c>
      <c r="D27" s="33">
        <v>350000</v>
      </c>
      <c r="E27" s="15">
        <f>H27-D27-F27-G27</f>
        <v>100000.00000000006</v>
      </c>
      <c r="F27" s="15">
        <v>50000</v>
      </c>
      <c r="G27" s="20"/>
      <c r="H27" s="33">
        <f>D27/0.7</f>
        <v>500000.00000000006</v>
      </c>
      <c r="I27" s="142"/>
      <c r="J27" s="146">
        <f t="shared" si="6"/>
        <v>0.1</v>
      </c>
      <c r="K27" s="41"/>
      <c r="L27" s="41">
        <v>350000</v>
      </c>
      <c r="M27" s="41">
        <v>50000</v>
      </c>
      <c r="N27" s="83">
        <v>350000</v>
      </c>
      <c r="O27" s="83">
        <v>100000</v>
      </c>
      <c r="P27" s="83">
        <v>50000</v>
      </c>
      <c r="Q27" s="83">
        <v>0</v>
      </c>
      <c r="R27" s="85">
        <f t="shared" ref="R27:R30" si="10">N27+O27+P27+Q27</f>
        <v>500000</v>
      </c>
      <c r="S27" s="99" t="s">
        <v>227</v>
      </c>
      <c r="T27" s="124">
        <f t="shared" si="2"/>
        <v>0.99999999999999989</v>
      </c>
    </row>
    <row r="28" spans="1:20" ht="15.75" x14ac:dyDescent="0.2">
      <c r="A28" s="96" t="s">
        <v>38</v>
      </c>
      <c r="B28" s="150"/>
      <c r="C28" s="13" t="s">
        <v>50</v>
      </c>
      <c r="D28" s="33">
        <v>539000</v>
      </c>
      <c r="E28" s="15">
        <f>H28-D28-F28-G28</f>
        <v>154000</v>
      </c>
      <c r="F28" s="15">
        <v>77000</v>
      </c>
      <c r="G28" s="20"/>
      <c r="H28" s="33">
        <f>D28/0.7</f>
        <v>770000</v>
      </c>
      <c r="I28" s="142"/>
      <c r="J28" s="146">
        <f t="shared" si="6"/>
        <v>0.1</v>
      </c>
      <c r="K28" s="41"/>
      <c r="L28" s="41">
        <v>539000</v>
      </c>
      <c r="M28" s="41">
        <v>77000</v>
      </c>
      <c r="N28" s="83">
        <v>539000</v>
      </c>
      <c r="O28" s="83">
        <v>154000</v>
      </c>
      <c r="P28" s="83">
        <v>77000</v>
      </c>
      <c r="Q28" s="83">
        <v>0</v>
      </c>
      <c r="R28" s="85">
        <f t="shared" si="10"/>
        <v>770000</v>
      </c>
      <c r="S28" s="99" t="s">
        <v>227</v>
      </c>
      <c r="T28" s="124">
        <f t="shared" si="2"/>
        <v>1</v>
      </c>
    </row>
    <row r="29" spans="1:20" ht="15.75" x14ac:dyDescent="0.2">
      <c r="A29" s="141" t="s">
        <v>39</v>
      </c>
      <c r="B29" s="150"/>
      <c r="C29" s="13" t="s">
        <v>51</v>
      </c>
      <c r="D29" s="33">
        <v>42000</v>
      </c>
      <c r="E29" s="15">
        <f>H29-D29-F29-G29</f>
        <v>12000.000000000007</v>
      </c>
      <c r="F29" s="15">
        <v>6000</v>
      </c>
      <c r="G29" s="20"/>
      <c r="H29" s="33">
        <f>D29/0.7</f>
        <v>60000.000000000007</v>
      </c>
      <c r="I29" s="142"/>
      <c r="J29" s="146">
        <f t="shared" si="6"/>
        <v>0.1</v>
      </c>
      <c r="K29" s="41"/>
      <c r="L29" s="41">
        <v>42000</v>
      </c>
      <c r="M29" s="41">
        <v>6000</v>
      </c>
      <c r="N29" s="83">
        <v>42000</v>
      </c>
      <c r="O29" s="83">
        <v>12000</v>
      </c>
      <c r="P29" s="83">
        <v>6000</v>
      </c>
      <c r="Q29" s="83">
        <v>0</v>
      </c>
      <c r="R29" s="85">
        <f t="shared" si="10"/>
        <v>60000</v>
      </c>
      <c r="S29" s="99" t="s">
        <v>227</v>
      </c>
      <c r="T29" s="124">
        <f t="shared" si="2"/>
        <v>0.99999999999999989</v>
      </c>
    </row>
    <row r="30" spans="1:20" ht="15.75" x14ac:dyDescent="0.2">
      <c r="A30" s="96" t="s">
        <v>45</v>
      </c>
      <c r="B30" s="151"/>
      <c r="C30" s="13" t="s">
        <v>52</v>
      </c>
      <c r="D30" s="33">
        <v>350000</v>
      </c>
      <c r="E30" s="15">
        <f>H30-D30-F30-G30</f>
        <v>100000.00000000006</v>
      </c>
      <c r="F30" s="15">
        <v>50000</v>
      </c>
      <c r="G30" s="20"/>
      <c r="H30" s="33">
        <f>D30/0.7</f>
        <v>500000.00000000006</v>
      </c>
      <c r="I30" s="142"/>
      <c r="J30" s="146">
        <f t="shared" si="6"/>
        <v>0.1</v>
      </c>
      <c r="K30" s="41"/>
      <c r="L30" s="41">
        <v>350000</v>
      </c>
      <c r="M30" s="41">
        <v>50000</v>
      </c>
      <c r="N30" s="83">
        <v>350000</v>
      </c>
      <c r="O30" s="83">
        <v>100000</v>
      </c>
      <c r="P30" s="83">
        <v>50000</v>
      </c>
      <c r="Q30" s="83"/>
      <c r="R30" s="85">
        <f t="shared" si="10"/>
        <v>500000</v>
      </c>
      <c r="S30" s="99" t="s">
        <v>227</v>
      </c>
      <c r="T30" s="124">
        <f t="shared" si="2"/>
        <v>0.99999999999999989</v>
      </c>
    </row>
    <row r="31" spans="1:20" s="108" customFormat="1" ht="15.75" x14ac:dyDescent="0.25">
      <c r="A31" s="187" t="s">
        <v>53</v>
      </c>
      <c r="B31" s="187"/>
      <c r="C31" s="187"/>
      <c r="D31" s="100">
        <f>SUM(D27:D30)</f>
        <v>1281000</v>
      </c>
      <c r="E31" s="100">
        <f>SUM(E27:E30)</f>
        <v>366000.00000000012</v>
      </c>
      <c r="F31" s="100">
        <f>SUM(F27:F30)</f>
        <v>183000</v>
      </c>
      <c r="G31" s="100">
        <f>SUM(G27:G30)</f>
        <v>0</v>
      </c>
      <c r="H31" s="100">
        <f>SUM(H27:H30)</f>
        <v>1830000</v>
      </c>
      <c r="I31" s="101"/>
      <c r="J31" s="146">
        <f t="shared" si="6"/>
        <v>0.1</v>
      </c>
      <c r="K31" s="102">
        <f>0</f>
        <v>0</v>
      </c>
      <c r="L31" s="103">
        <f t="shared" ref="L31:Q31" si="11">SUM(L27:L30)</f>
        <v>1281000</v>
      </c>
      <c r="M31" s="104">
        <f t="shared" si="11"/>
        <v>183000</v>
      </c>
      <c r="N31" s="105">
        <f t="shared" si="11"/>
        <v>1281000</v>
      </c>
      <c r="O31" s="105">
        <f t="shared" si="11"/>
        <v>366000</v>
      </c>
      <c r="P31" s="105">
        <f t="shared" si="11"/>
        <v>183000</v>
      </c>
      <c r="Q31" s="105">
        <f t="shared" si="11"/>
        <v>0</v>
      </c>
      <c r="R31" s="106">
        <f>N31+O31+P31+Q31</f>
        <v>1830000</v>
      </c>
      <c r="S31" s="107"/>
      <c r="T31" s="124">
        <f t="shared" si="2"/>
        <v>1</v>
      </c>
    </row>
    <row r="32" spans="1:20" s="6" customFormat="1" ht="29.25" customHeight="1" x14ac:dyDescent="0.2">
      <c r="A32" s="96" t="s">
        <v>46</v>
      </c>
      <c r="B32" s="152" t="s">
        <v>12</v>
      </c>
      <c r="C32" s="13" t="s">
        <v>57</v>
      </c>
      <c r="D32" s="33">
        <v>70000</v>
      </c>
      <c r="E32" s="15">
        <f>H32-D32-F32-G32</f>
        <v>25000</v>
      </c>
      <c r="F32" s="15">
        <v>5000</v>
      </c>
      <c r="G32" s="20"/>
      <c r="H32" s="33">
        <f>D32/0.7</f>
        <v>100000</v>
      </c>
      <c r="I32" s="142"/>
      <c r="J32" s="146">
        <f t="shared" si="6"/>
        <v>0.05</v>
      </c>
      <c r="K32" s="41"/>
      <c r="L32" s="41">
        <v>70000</v>
      </c>
      <c r="M32" s="41">
        <v>5000</v>
      </c>
      <c r="N32" s="83">
        <v>70000</v>
      </c>
      <c r="O32" s="83">
        <v>25000</v>
      </c>
      <c r="P32" s="83">
        <v>5000</v>
      </c>
      <c r="Q32" s="83"/>
      <c r="R32" s="85">
        <f t="shared" ref="R32:R33" si="12">N32+O32+P32+Q32</f>
        <v>100000</v>
      </c>
      <c r="S32" s="99" t="s">
        <v>227</v>
      </c>
      <c r="T32" s="124">
        <f t="shared" si="2"/>
        <v>1</v>
      </c>
    </row>
    <row r="33" spans="1:20" ht="25.5" x14ac:dyDescent="0.2">
      <c r="A33" s="96" t="s">
        <v>47</v>
      </c>
      <c r="B33" s="153"/>
      <c r="C33" s="13" t="s">
        <v>58</v>
      </c>
      <c r="D33" s="33">
        <v>203000</v>
      </c>
      <c r="E33" s="15">
        <f>H33-D33-F33-G33</f>
        <v>72500</v>
      </c>
      <c r="F33" s="15">
        <v>14500</v>
      </c>
      <c r="G33" s="20"/>
      <c r="H33" s="33">
        <f>D33/0.7</f>
        <v>290000</v>
      </c>
      <c r="I33" s="142"/>
      <c r="J33" s="146">
        <f t="shared" si="6"/>
        <v>0.05</v>
      </c>
      <c r="K33" s="41"/>
      <c r="L33" s="41">
        <v>203000</v>
      </c>
      <c r="M33" s="41">
        <v>14500</v>
      </c>
      <c r="N33" s="83">
        <v>203000</v>
      </c>
      <c r="O33" s="83">
        <v>72500</v>
      </c>
      <c r="P33" s="83">
        <v>14500</v>
      </c>
      <c r="Q33" s="83">
        <v>0</v>
      </c>
      <c r="R33" s="85">
        <f t="shared" si="12"/>
        <v>290000</v>
      </c>
      <c r="S33" s="99" t="s">
        <v>227</v>
      </c>
      <c r="T33" s="124">
        <f t="shared" si="2"/>
        <v>1</v>
      </c>
    </row>
    <row r="34" spans="1:20" s="108" customFormat="1" ht="15.75" x14ac:dyDescent="0.25">
      <c r="A34" s="187" t="s">
        <v>59</v>
      </c>
      <c r="B34" s="187"/>
      <c r="C34" s="187"/>
      <c r="D34" s="100">
        <f>SUM(D32:D33)</f>
        <v>273000</v>
      </c>
      <c r="E34" s="100">
        <f>SUM(E32:E33)</f>
        <v>97500</v>
      </c>
      <c r="F34" s="100">
        <f>SUM(F32:F33)</f>
        <v>19500</v>
      </c>
      <c r="G34" s="100">
        <f>SUM(G32:G33)</f>
        <v>0</v>
      </c>
      <c r="H34" s="100">
        <f>SUM(H32:H33)</f>
        <v>390000</v>
      </c>
      <c r="I34" s="101"/>
      <c r="J34" s="146">
        <f t="shared" si="6"/>
        <v>0.05</v>
      </c>
      <c r="K34" s="102">
        <f>0</f>
        <v>0</v>
      </c>
      <c r="L34" s="103">
        <f>SUM(L32:L33)</f>
        <v>273000</v>
      </c>
      <c r="M34" s="104">
        <f>M32+M33</f>
        <v>19500</v>
      </c>
      <c r="N34" s="105">
        <f>SUM(N32:N33)</f>
        <v>273000</v>
      </c>
      <c r="O34" s="105">
        <f>SUM(O32:O33)</f>
        <v>97500</v>
      </c>
      <c r="P34" s="105">
        <f>SUM(P32:P33)</f>
        <v>19500</v>
      </c>
      <c r="Q34" s="105">
        <f>SUM(Q32:Q33)</f>
        <v>0</v>
      </c>
      <c r="R34" s="106">
        <f>N34+O34+P34+Q34</f>
        <v>390000</v>
      </c>
      <c r="S34" s="107"/>
      <c r="T34" s="124">
        <f t="shared" si="2"/>
        <v>1</v>
      </c>
    </row>
    <row r="35" spans="1:20" ht="15" x14ac:dyDescent="0.2">
      <c r="A35" s="96" t="s">
        <v>48</v>
      </c>
      <c r="B35" s="154" t="s">
        <v>13</v>
      </c>
      <c r="C35" s="10" t="s">
        <v>60</v>
      </c>
      <c r="D35" s="38">
        <v>105000</v>
      </c>
      <c r="E35" s="12">
        <f t="shared" ref="E35:E60" si="13">H35-D35-F35-G35</f>
        <v>7500</v>
      </c>
      <c r="F35" s="19">
        <v>37500</v>
      </c>
      <c r="G35" s="12"/>
      <c r="H35" s="34">
        <f t="shared" ref="H35:H60" si="14">D35/0.7</f>
        <v>150000</v>
      </c>
      <c r="I35" s="142"/>
      <c r="J35" s="146">
        <f t="shared" si="6"/>
        <v>0.25</v>
      </c>
      <c r="K35" s="41">
        <f t="shared" ref="K35:K41" si="15">D35</f>
        <v>105000</v>
      </c>
      <c r="L35" s="41"/>
      <c r="M35" s="121">
        <v>37500</v>
      </c>
      <c r="N35" s="83">
        <v>105000</v>
      </c>
      <c r="O35" s="83">
        <v>7500</v>
      </c>
      <c r="P35" s="83">
        <v>37500</v>
      </c>
      <c r="Q35" s="83">
        <v>0</v>
      </c>
      <c r="R35" s="85">
        <f t="shared" ref="R35:R60" si="16">N35+O35+P35+Q35</f>
        <v>150000</v>
      </c>
      <c r="S35" s="99" t="s">
        <v>227</v>
      </c>
      <c r="T35" s="124">
        <f t="shared" si="2"/>
        <v>1</v>
      </c>
    </row>
    <row r="36" spans="1:20" ht="15" x14ac:dyDescent="0.2">
      <c r="A36" s="96" t="s">
        <v>54</v>
      </c>
      <c r="B36" s="155"/>
      <c r="C36" s="10" t="s">
        <v>61</v>
      </c>
      <c r="D36" s="38">
        <v>21000</v>
      </c>
      <c r="E36" s="12">
        <f t="shared" si="13"/>
        <v>1500.0000000000036</v>
      </c>
      <c r="F36" s="21">
        <v>7500</v>
      </c>
      <c r="G36" s="12"/>
      <c r="H36" s="34">
        <f t="shared" si="14"/>
        <v>30000.000000000004</v>
      </c>
      <c r="I36" s="142"/>
      <c r="J36" s="146">
        <f t="shared" ref="J36:J99" si="17">P36/R36</f>
        <v>0.25</v>
      </c>
      <c r="K36" s="41">
        <f t="shared" si="15"/>
        <v>21000</v>
      </c>
      <c r="L36" s="41"/>
      <c r="M36" s="121">
        <v>7500</v>
      </c>
      <c r="N36" s="83">
        <v>21000</v>
      </c>
      <c r="O36" s="83">
        <v>1500</v>
      </c>
      <c r="P36" s="83">
        <v>7500</v>
      </c>
      <c r="Q36" s="83">
        <v>0</v>
      </c>
      <c r="R36" s="85">
        <f t="shared" si="16"/>
        <v>30000</v>
      </c>
      <c r="S36" s="99" t="s">
        <v>227</v>
      </c>
      <c r="T36" s="124">
        <f t="shared" si="2"/>
        <v>0.99999999999999989</v>
      </c>
    </row>
    <row r="37" spans="1:20" ht="25.5" x14ac:dyDescent="0.2">
      <c r="A37" s="96" t="s">
        <v>55</v>
      </c>
      <c r="B37" s="155"/>
      <c r="C37" s="10" t="s">
        <v>62</v>
      </c>
      <c r="D37" s="38">
        <v>60900</v>
      </c>
      <c r="E37" s="12">
        <f t="shared" si="13"/>
        <v>4350</v>
      </c>
      <c r="F37" s="19">
        <v>21750</v>
      </c>
      <c r="G37" s="12"/>
      <c r="H37" s="34">
        <f t="shared" si="14"/>
        <v>87000</v>
      </c>
      <c r="I37" s="142"/>
      <c r="J37" s="146">
        <f t="shared" si="17"/>
        <v>0.25</v>
      </c>
      <c r="K37" s="41">
        <f t="shared" si="15"/>
        <v>60900</v>
      </c>
      <c r="L37" s="41"/>
      <c r="M37" s="121">
        <v>21750</v>
      </c>
      <c r="N37" s="83">
        <v>60900</v>
      </c>
      <c r="O37" s="83">
        <v>4350</v>
      </c>
      <c r="P37" s="83">
        <v>21750</v>
      </c>
      <c r="Q37" s="83">
        <v>0</v>
      </c>
      <c r="R37" s="85">
        <f t="shared" si="16"/>
        <v>87000</v>
      </c>
      <c r="S37" s="99" t="s">
        <v>227</v>
      </c>
      <c r="T37" s="124">
        <f t="shared" si="2"/>
        <v>1</v>
      </c>
    </row>
    <row r="38" spans="1:20" ht="25.5" x14ac:dyDescent="0.2">
      <c r="A38" s="96" t="s">
        <v>56</v>
      </c>
      <c r="B38" s="155"/>
      <c r="C38" s="10" t="s">
        <v>63</v>
      </c>
      <c r="D38" s="39">
        <v>84000</v>
      </c>
      <c r="E38" s="12">
        <f t="shared" si="13"/>
        <v>6000.0000000000146</v>
      </c>
      <c r="F38" s="22">
        <v>30000</v>
      </c>
      <c r="G38" s="12"/>
      <c r="H38" s="34">
        <f t="shared" si="14"/>
        <v>120000.00000000001</v>
      </c>
      <c r="I38" s="142"/>
      <c r="J38" s="146">
        <f t="shared" si="17"/>
        <v>0.25</v>
      </c>
      <c r="K38" s="41">
        <f t="shared" si="15"/>
        <v>84000</v>
      </c>
      <c r="L38" s="41"/>
      <c r="M38" s="121">
        <v>30000</v>
      </c>
      <c r="N38" s="83">
        <v>84000</v>
      </c>
      <c r="O38" s="83">
        <v>6000</v>
      </c>
      <c r="P38" s="83">
        <v>30000</v>
      </c>
      <c r="Q38" s="83">
        <v>0</v>
      </c>
      <c r="R38" s="85">
        <f t="shared" si="16"/>
        <v>120000</v>
      </c>
      <c r="S38" s="99" t="s">
        <v>227</v>
      </c>
      <c r="T38" s="124">
        <f t="shared" si="2"/>
        <v>0.99999999999999989</v>
      </c>
    </row>
    <row r="39" spans="1:20" ht="15" x14ac:dyDescent="0.2">
      <c r="A39" s="96" t="s">
        <v>80</v>
      </c>
      <c r="B39" s="155"/>
      <c r="C39" s="10" t="s">
        <v>64</v>
      </c>
      <c r="D39" s="40">
        <v>105000</v>
      </c>
      <c r="E39" s="12">
        <f t="shared" si="13"/>
        <v>24000</v>
      </c>
      <c r="F39" s="23">
        <v>21000</v>
      </c>
      <c r="G39" s="12"/>
      <c r="H39" s="34">
        <f t="shared" si="14"/>
        <v>150000</v>
      </c>
      <c r="I39" s="142"/>
      <c r="J39" s="146">
        <f t="shared" si="17"/>
        <v>0.25</v>
      </c>
      <c r="K39" s="41">
        <f t="shared" si="15"/>
        <v>105000</v>
      </c>
      <c r="L39" s="41"/>
      <c r="M39" s="121">
        <v>21000</v>
      </c>
      <c r="N39" s="83">
        <v>105000</v>
      </c>
      <c r="O39" s="83">
        <v>7500</v>
      </c>
      <c r="P39" s="83">
        <v>37500</v>
      </c>
      <c r="Q39" s="83">
        <v>0</v>
      </c>
      <c r="R39" s="85">
        <f t="shared" si="16"/>
        <v>150000</v>
      </c>
      <c r="S39" s="99" t="s">
        <v>227</v>
      </c>
      <c r="T39" s="124">
        <f t="shared" si="2"/>
        <v>1</v>
      </c>
    </row>
    <row r="40" spans="1:20" s="7" customFormat="1" ht="15" x14ac:dyDescent="0.2">
      <c r="A40" s="96" t="s">
        <v>81</v>
      </c>
      <c r="B40" s="155"/>
      <c r="C40" s="10" t="s">
        <v>65</v>
      </c>
      <c r="D40" s="40">
        <v>105000</v>
      </c>
      <c r="E40" s="12">
        <f t="shared" si="13"/>
        <v>7500</v>
      </c>
      <c r="F40" s="24">
        <v>37500</v>
      </c>
      <c r="G40" s="12"/>
      <c r="H40" s="34">
        <f t="shared" si="14"/>
        <v>150000</v>
      </c>
      <c r="I40" s="142"/>
      <c r="J40" s="146">
        <f t="shared" si="17"/>
        <v>0.25</v>
      </c>
      <c r="K40" s="41">
        <f t="shared" si="15"/>
        <v>105000</v>
      </c>
      <c r="L40" s="43"/>
      <c r="M40" s="122">
        <v>37500</v>
      </c>
      <c r="N40" s="83">
        <v>105000</v>
      </c>
      <c r="O40" s="83">
        <v>7500</v>
      </c>
      <c r="P40" s="83">
        <v>37500</v>
      </c>
      <c r="Q40" s="83">
        <v>0</v>
      </c>
      <c r="R40" s="85">
        <f t="shared" si="16"/>
        <v>150000</v>
      </c>
      <c r="S40" s="99" t="s">
        <v>227</v>
      </c>
      <c r="T40" s="124">
        <f t="shared" si="2"/>
        <v>1</v>
      </c>
    </row>
    <row r="41" spans="1:20" ht="25.5" x14ac:dyDescent="0.2">
      <c r="A41" s="96" t="s">
        <v>82</v>
      </c>
      <c r="B41" s="155"/>
      <c r="C41" s="10" t="s">
        <v>174</v>
      </c>
      <c r="D41" s="38">
        <v>21000</v>
      </c>
      <c r="E41" s="12">
        <f t="shared" si="13"/>
        <v>1500.0000000000036</v>
      </c>
      <c r="F41" s="23">
        <v>7500</v>
      </c>
      <c r="G41" s="12"/>
      <c r="H41" s="34">
        <f t="shared" si="14"/>
        <v>30000.000000000004</v>
      </c>
      <c r="I41" s="142"/>
      <c r="J41" s="146">
        <f t="shared" si="17"/>
        <v>0.25</v>
      </c>
      <c r="K41" s="41">
        <f t="shared" si="15"/>
        <v>21000</v>
      </c>
      <c r="L41" s="41"/>
      <c r="M41" s="121">
        <v>7500</v>
      </c>
      <c r="N41" s="83">
        <v>21000</v>
      </c>
      <c r="O41" s="83">
        <v>1500</v>
      </c>
      <c r="P41" s="83">
        <v>7500</v>
      </c>
      <c r="Q41" s="83">
        <v>0</v>
      </c>
      <c r="R41" s="85">
        <f t="shared" si="16"/>
        <v>30000</v>
      </c>
      <c r="S41" s="99" t="s">
        <v>227</v>
      </c>
      <c r="T41" s="124">
        <f t="shared" si="2"/>
        <v>0.99999999999999989</v>
      </c>
    </row>
    <row r="42" spans="1:20" ht="25.5" x14ac:dyDescent="0.2">
      <c r="A42" s="96" t="s">
        <v>83</v>
      </c>
      <c r="B42" s="155"/>
      <c r="C42" s="10" t="s">
        <v>66</v>
      </c>
      <c r="D42" s="38">
        <v>21000</v>
      </c>
      <c r="E42" s="12">
        <f t="shared" si="13"/>
        <v>1500.0000000000036</v>
      </c>
      <c r="F42" s="23">
        <v>7500</v>
      </c>
      <c r="G42" s="12"/>
      <c r="H42" s="34">
        <f t="shared" si="14"/>
        <v>30000.000000000004</v>
      </c>
      <c r="I42" s="142"/>
      <c r="J42" s="146">
        <f t="shared" si="17"/>
        <v>0.25</v>
      </c>
      <c r="K42" s="41">
        <f t="shared" ref="K42:K56" si="18">D42</f>
        <v>21000</v>
      </c>
      <c r="L42" s="41"/>
      <c r="M42" s="121">
        <v>7500</v>
      </c>
      <c r="N42" s="83">
        <v>21000</v>
      </c>
      <c r="O42" s="83">
        <v>1500</v>
      </c>
      <c r="P42" s="83">
        <v>7500</v>
      </c>
      <c r="Q42" s="83">
        <v>0</v>
      </c>
      <c r="R42" s="85">
        <f t="shared" si="16"/>
        <v>30000</v>
      </c>
      <c r="S42" s="99" t="s">
        <v>227</v>
      </c>
      <c r="T42" s="124">
        <f t="shared" si="2"/>
        <v>0.99999999999999989</v>
      </c>
    </row>
    <row r="43" spans="1:20" ht="25.5" x14ac:dyDescent="0.2">
      <c r="A43" s="96" t="s">
        <v>84</v>
      </c>
      <c r="B43" s="155"/>
      <c r="C43" s="10" t="s">
        <v>67</v>
      </c>
      <c r="D43" s="34">
        <v>31500</v>
      </c>
      <c r="E43" s="12">
        <v>2250</v>
      </c>
      <c r="F43" s="12">
        <v>11250</v>
      </c>
      <c r="G43" s="12"/>
      <c r="H43" s="34">
        <f>D43+E43+F43+G43</f>
        <v>45000</v>
      </c>
      <c r="I43" s="142"/>
      <c r="J43" s="146">
        <f t="shared" si="17"/>
        <v>0.25</v>
      </c>
      <c r="K43" s="41">
        <f t="shared" si="18"/>
        <v>31500</v>
      </c>
      <c r="L43" s="41"/>
      <c r="M43" s="121">
        <v>11250</v>
      </c>
      <c r="N43" s="83">
        <v>31500</v>
      </c>
      <c r="O43" s="83">
        <v>2250</v>
      </c>
      <c r="P43" s="83">
        <v>11250</v>
      </c>
      <c r="Q43" s="83">
        <v>0</v>
      </c>
      <c r="R43" s="85">
        <f t="shared" si="16"/>
        <v>45000</v>
      </c>
      <c r="S43" s="99" t="s">
        <v>227</v>
      </c>
      <c r="T43" s="124">
        <f t="shared" si="2"/>
        <v>1</v>
      </c>
    </row>
    <row r="44" spans="1:20" ht="25.5" x14ac:dyDescent="0.2">
      <c r="A44" s="96" t="s">
        <v>85</v>
      </c>
      <c r="B44" s="155"/>
      <c r="C44" s="10" t="s">
        <v>68</v>
      </c>
      <c r="D44" s="38">
        <v>21000</v>
      </c>
      <c r="E44" s="12">
        <f t="shared" si="13"/>
        <v>1500.0000000000036</v>
      </c>
      <c r="F44" s="23">
        <v>7500</v>
      </c>
      <c r="G44" s="12"/>
      <c r="H44" s="34">
        <f t="shared" si="14"/>
        <v>30000.000000000004</v>
      </c>
      <c r="I44" s="142"/>
      <c r="J44" s="146">
        <f t="shared" si="17"/>
        <v>0.25</v>
      </c>
      <c r="K44" s="41">
        <f t="shared" si="18"/>
        <v>21000</v>
      </c>
      <c r="L44" s="41"/>
      <c r="M44" s="121">
        <v>7500</v>
      </c>
      <c r="N44" s="83">
        <v>21000</v>
      </c>
      <c r="O44" s="83">
        <v>1500</v>
      </c>
      <c r="P44" s="83">
        <v>7500</v>
      </c>
      <c r="Q44" s="83">
        <v>0</v>
      </c>
      <c r="R44" s="85">
        <f t="shared" si="16"/>
        <v>30000</v>
      </c>
      <c r="S44" s="99" t="s">
        <v>227</v>
      </c>
      <c r="T44" s="124">
        <f t="shared" si="2"/>
        <v>0.99999999999999989</v>
      </c>
    </row>
    <row r="45" spans="1:20" ht="25.5" x14ac:dyDescent="0.2">
      <c r="A45" s="96" t="s">
        <v>86</v>
      </c>
      <c r="B45" s="155"/>
      <c r="C45" s="10" t="s">
        <v>69</v>
      </c>
      <c r="D45" s="38">
        <v>21000</v>
      </c>
      <c r="E45" s="12">
        <f t="shared" si="13"/>
        <v>1500.0000000000036</v>
      </c>
      <c r="F45" s="23">
        <v>7500</v>
      </c>
      <c r="G45" s="12"/>
      <c r="H45" s="34">
        <f t="shared" si="14"/>
        <v>30000.000000000004</v>
      </c>
      <c r="I45" s="142"/>
      <c r="J45" s="146">
        <f t="shared" si="17"/>
        <v>0.25</v>
      </c>
      <c r="K45" s="41">
        <f t="shared" si="18"/>
        <v>21000</v>
      </c>
      <c r="L45" s="41"/>
      <c r="M45" s="121">
        <v>7500</v>
      </c>
      <c r="N45" s="83">
        <v>21000</v>
      </c>
      <c r="O45" s="83">
        <v>1500</v>
      </c>
      <c r="P45" s="83">
        <v>7500</v>
      </c>
      <c r="Q45" s="83">
        <v>0</v>
      </c>
      <c r="R45" s="85">
        <f t="shared" si="16"/>
        <v>30000</v>
      </c>
      <c r="S45" s="99" t="s">
        <v>227</v>
      </c>
      <c r="T45" s="124">
        <f t="shared" si="2"/>
        <v>0.99999999999999989</v>
      </c>
    </row>
    <row r="46" spans="1:20" ht="25.5" x14ac:dyDescent="0.2">
      <c r="A46" s="96" t="s">
        <v>87</v>
      </c>
      <c r="B46" s="155"/>
      <c r="C46" s="10" t="s">
        <v>70</v>
      </c>
      <c r="D46" s="38">
        <v>31500</v>
      </c>
      <c r="E46" s="12">
        <f t="shared" si="13"/>
        <v>2250</v>
      </c>
      <c r="F46" s="19">
        <v>11250</v>
      </c>
      <c r="G46" s="12"/>
      <c r="H46" s="34">
        <f t="shared" si="14"/>
        <v>45000</v>
      </c>
      <c r="I46" s="142"/>
      <c r="J46" s="146">
        <f t="shared" si="17"/>
        <v>0.25</v>
      </c>
      <c r="K46" s="41">
        <f t="shared" si="18"/>
        <v>31500</v>
      </c>
      <c r="L46" s="41"/>
      <c r="M46" s="121">
        <v>11250</v>
      </c>
      <c r="N46" s="83">
        <v>31500</v>
      </c>
      <c r="O46" s="83">
        <v>2250</v>
      </c>
      <c r="P46" s="83">
        <v>11250</v>
      </c>
      <c r="Q46" s="83">
        <v>0</v>
      </c>
      <c r="R46" s="85">
        <f t="shared" si="16"/>
        <v>45000</v>
      </c>
      <c r="S46" s="99" t="s">
        <v>227</v>
      </c>
      <c r="T46" s="124">
        <f t="shared" si="2"/>
        <v>1</v>
      </c>
    </row>
    <row r="47" spans="1:20" ht="25.5" x14ac:dyDescent="0.2">
      <c r="A47" s="96" t="s">
        <v>88</v>
      </c>
      <c r="B47" s="155"/>
      <c r="C47" s="10" t="s">
        <v>71</v>
      </c>
      <c r="D47" s="38">
        <v>42000</v>
      </c>
      <c r="E47" s="12">
        <f t="shared" si="13"/>
        <v>3000.0000000000073</v>
      </c>
      <c r="F47" s="12">
        <v>15000</v>
      </c>
      <c r="G47" s="12"/>
      <c r="H47" s="34">
        <f t="shared" si="14"/>
        <v>60000.000000000007</v>
      </c>
      <c r="I47" s="142"/>
      <c r="J47" s="146">
        <f t="shared" si="17"/>
        <v>0.25</v>
      </c>
      <c r="K47" s="41">
        <f t="shared" si="18"/>
        <v>42000</v>
      </c>
      <c r="L47" s="41"/>
      <c r="M47" s="121">
        <v>15000</v>
      </c>
      <c r="N47" s="83">
        <v>42000</v>
      </c>
      <c r="O47" s="83">
        <v>3000</v>
      </c>
      <c r="P47" s="83">
        <v>15000</v>
      </c>
      <c r="Q47" s="83">
        <v>0</v>
      </c>
      <c r="R47" s="85">
        <f t="shared" si="16"/>
        <v>60000</v>
      </c>
      <c r="S47" s="99" t="s">
        <v>227</v>
      </c>
      <c r="T47" s="124">
        <f t="shared" si="2"/>
        <v>0.99999999999999989</v>
      </c>
    </row>
    <row r="48" spans="1:20" ht="25.5" x14ac:dyDescent="0.2">
      <c r="A48" s="96" t="s">
        <v>89</v>
      </c>
      <c r="B48" s="155"/>
      <c r="C48" s="10" t="s">
        <v>72</v>
      </c>
      <c r="D48" s="34">
        <v>63000</v>
      </c>
      <c r="E48" s="12">
        <f t="shared" si="13"/>
        <v>4500</v>
      </c>
      <c r="F48" s="19">
        <v>22500</v>
      </c>
      <c r="G48" s="12"/>
      <c r="H48" s="34">
        <f t="shared" si="14"/>
        <v>90000</v>
      </c>
      <c r="I48" s="142"/>
      <c r="J48" s="146">
        <f t="shared" si="17"/>
        <v>0.25</v>
      </c>
      <c r="K48" s="41">
        <f t="shared" si="18"/>
        <v>63000</v>
      </c>
      <c r="L48" s="41"/>
      <c r="M48" s="121">
        <v>22500</v>
      </c>
      <c r="N48" s="83">
        <v>63000</v>
      </c>
      <c r="O48" s="83">
        <v>4500</v>
      </c>
      <c r="P48" s="83">
        <v>22500</v>
      </c>
      <c r="Q48" s="83">
        <v>0</v>
      </c>
      <c r="R48" s="85">
        <f t="shared" si="16"/>
        <v>90000</v>
      </c>
      <c r="S48" s="99" t="s">
        <v>227</v>
      </c>
      <c r="T48" s="124">
        <f t="shared" si="2"/>
        <v>1</v>
      </c>
    </row>
    <row r="49" spans="1:20" ht="25.5" x14ac:dyDescent="0.2">
      <c r="A49" s="96" t="s">
        <v>90</v>
      </c>
      <c r="B49" s="155"/>
      <c r="C49" s="10" t="s">
        <v>73</v>
      </c>
      <c r="D49" s="38">
        <v>31500</v>
      </c>
      <c r="E49" s="12">
        <f t="shared" si="13"/>
        <v>2250</v>
      </c>
      <c r="F49" s="19">
        <v>11250</v>
      </c>
      <c r="G49" s="12"/>
      <c r="H49" s="34">
        <f t="shared" si="14"/>
        <v>45000</v>
      </c>
      <c r="I49" s="142"/>
      <c r="J49" s="146">
        <f t="shared" si="17"/>
        <v>0.25</v>
      </c>
      <c r="K49" s="41">
        <f t="shared" si="18"/>
        <v>31500</v>
      </c>
      <c r="L49" s="41"/>
      <c r="M49" s="121">
        <v>11250</v>
      </c>
      <c r="N49" s="83">
        <v>31500</v>
      </c>
      <c r="O49" s="83">
        <v>2250</v>
      </c>
      <c r="P49" s="83">
        <v>11250</v>
      </c>
      <c r="Q49" s="83">
        <v>0</v>
      </c>
      <c r="R49" s="85">
        <f t="shared" si="16"/>
        <v>45000</v>
      </c>
      <c r="S49" s="99" t="s">
        <v>227</v>
      </c>
      <c r="T49" s="124">
        <f t="shared" si="2"/>
        <v>1</v>
      </c>
    </row>
    <row r="50" spans="1:20" ht="25.5" x14ac:dyDescent="0.2">
      <c r="A50" s="96" t="s">
        <v>91</v>
      </c>
      <c r="B50" s="155"/>
      <c r="C50" s="10" t="s">
        <v>74</v>
      </c>
      <c r="D50" s="38">
        <v>21000</v>
      </c>
      <c r="E50" s="12">
        <f t="shared" si="13"/>
        <v>1500.0000000000036</v>
      </c>
      <c r="F50" s="19">
        <v>7500</v>
      </c>
      <c r="G50" s="12"/>
      <c r="H50" s="34">
        <f t="shared" si="14"/>
        <v>30000.000000000004</v>
      </c>
      <c r="I50" s="142"/>
      <c r="J50" s="146">
        <f t="shared" si="17"/>
        <v>0.25</v>
      </c>
      <c r="K50" s="41">
        <f t="shared" si="18"/>
        <v>21000</v>
      </c>
      <c r="L50" s="41"/>
      <c r="M50" s="121">
        <v>7500</v>
      </c>
      <c r="N50" s="83">
        <v>21000</v>
      </c>
      <c r="O50" s="83">
        <v>1500</v>
      </c>
      <c r="P50" s="83">
        <v>7500</v>
      </c>
      <c r="Q50" s="83">
        <v>0</v>
      </c>
      <c r="R50" s="85">
        <f t="shared" si="16"/>
        <v>30000</v>
      </c>
      <c r="S50" s="99" t="s">
        <v>227</v>
      </c>
      <c r="T50" s="124">
        <f t="shared" si="2"/>
        <v>0.99999999999999989</v>
      </c>
    </row>
    <row r="51" spans="1:20" ht="25.5" x14ac:dyDescent="0.2">
      <c r="A51" s="96" t="s">
        <v>92</v>
      </c>
      <c r="B51" s="155"/>
      <c r="C51" s="10" t="s">
        <v>75</v>
      </c>
      <c r="D51" s="34">
        <v>21000</v>
      </c>
      <c r="E51" s="12">
        <f t="shared" si="13"/>
        <v>1500.0000000000036</v>
      </c>
      <c r="F51" s="19">
        <v>7500</v>
      </c>
      <c r="G51" s="12"/>
      <c r="H51" s="34">
        <f t="shared" si="14"/>
        <v>30000.000000000004</v>
      </c>
      <c r="I51" s="142"/>
      <c r="J51" s="146">
        <f t="shared" si="17"/>
        <v>0.25</v>
      </c>
      <c r="K51" s="41">
        <f t="shared" si="18"/>
        <v>21000</v>
      </c>
      <c r="L51" s="41"/>
      <c r="M51" s="121">
        <v>7500</v>
      </c>
      <c r="N51" s="83">
        <v>21000</v>
      </c>
      <c r="O51" s="83">
        <v>1500</v>
      </c>
      <c r="P51" s="83">
        <v>7500</v>
      </c>
      <c r="Q51" s="83">
        <v>0</v>
      </c>
      <c r="R51" s="85">
        <f t="shared" si="16"/>
        <v>30000</v>
      </c>
      <c r="S51" s="99" t="s">
        <v>227</v>
      </c>
      <c r="T51" s="124">
        <f t="shared" si="2"/>
        <v>0.99999999999999989</v>
      </c>
    </row>
    <row r="52" spans="1:20" ht="25.5" x14ac:dyDescent="0.2">
      <c r="A52" s="96" t="s">
        <v>93</v>
      </c>
      <c r="B52" s="155"/>
      <c r="C52" s="10" t="s">
        <v>76</v>
      </c>
      <c r="D52" s="38">
        <v>63000</v>
      </c>
      <c r="E52" s="12">
        <f t="shared" si="13"/>
        <v>4500</v>
      </c>
      <c r="F52" s="19">
        <v>22500</v>
      </c>
      <c r="G52" s="12"/>
      <c r="H52" s="34">
        <f t="shared" si="14"/>
        <v>90000</v>
      </c>
      <c r="I52" s="142"/>
      <c r="J52" s="146">
        <f t="shared" si="17"/>
        <v>0.25</v>
      </c>
      <c r="K52" s="41">
        <f t="shared" si="18"/>
        <v>63000</v>
      </c>
      <c r="L52" s="41"/>
      <c r="M52" s="121">
        <v>22500</v>
      </c>
      <c r="N52" s="83">
        <v>63000</v>
      </c>
      <c r="O52" s="83">
        <v>4500</v>
      </c>
      <c r="P52" s="83">
        <v>22500</v>
      </c>
      <c r="Q52" s="83">
        <v>0</v>
      </c>
      <c r="R52" s="85">
        <f t="shared" si="16"/>
        <v>90000</v>
      </c>
      <c r="S52" s="99" t="s">
        <v>227</v>
      </c>
      <c r="T52" s="124">
        <f t="shared" si="2"/>
        <v>1</v>
      </c>
    </row>
    <row r="53" spans="1:20" ht="25.5" x14ac:dyDescent="0.2">
      <c r="A53" s="96" t="s">
        <v>94</v>
      </c>
      <c r="B53" s="155"/>
      <c r="C53" s="10" t="s">
        <v>77</v>
      </c>
      <c r="D53" s="34">
        <v>21000</v>
      </c>
      <c r="E53" s="12">
        <f t="shared" si="13"/>
        <v>1500.0000000000036</v>
      </c>
      <c r="F53" s="19">
        <v>7500</v>
      </c>
      <c r="G53" s="12"/>
      <c r="H53" s="34">
        <f t="shared" si="14"/>
        <v>30000.000000000004</v>
      </c>
      <c r="I53" s="142"/>
      <c r="J53" s="146">
        <f t="shared" si="17"/>
        <v>0.25</v>
      </c>
      <c r="K53" s="41">
        <f t="shared" si="18"/>
        <v>21000</v>
      </c>
      <c r="L53" s="41"/>
      <c r="M53" s="121">
        <v>7500</v>
      </c>
      <c r="N53" s="83">
        <v>21000</v>
      </c>
      <c r="O53" s="83">
        <v>1500</v>
      </c>
      <c r="P53" s="83">
        <v>7500</v>
      </c>
      <c r="Q53" s="83">
        <v>0</v>
      </c>
      <c r="R53" s="85">
        <f t="shared" si="16"/>
        <v>30000</v>
      </c>
      <c r="S53" s="99" t="s">
        <v>227</v>
      </c>
      <c r="T53" s="124">
        <f t="shared" si="2"/>
        <v>0.99999999999999989</v>
      </c>
    </row>
    <row r="54" spans="1:20" ht="25.5" x14ac:dyDescent="0.2">
      <c r="A54" s="96" t="s">
        <v>95</v>
      </c>
      <c r="B54" s="155"/>
      <c r="C54" s="10" t="s">
        <v>79</v>
      </c>
      <c r="D54" s="38">
        <v>63000</v>
      </c>
      <c r="E54" s="12">
        <f t="shared" si="13"/>
        <v>4500</v>
      </c>
      <c r="F54" s="19">
        <v>22500</v>
      </c>
      <c r="G54" s="12"/>
      <c r="H54" s="34">
        <f t="shared" si="14"/>
        <v>90000</v>
      </c>
      <c r="I54" s="142"/>
      <c r="J54" s="146">
        <f t="shared" si="17"/>
        <v>0.25</v>
      </c>
      <c r="K54" s="41">
        <f t="shared" si="18"/>
        <v>63000</v>
      </c>
      <c r="L54" s="41"/>
      <c r="M54" s="121">
        <v>22500</v>
      </c>
      <c r="N54" s="83">
        <v>63000</v>
      </c>
      <c r="O54" s="83">
        <v>4500</v>
      </c>
      <c r="P54" s="83">
        <v>22500</v>
      </c>
      <c r="Q54" s="83">
        <v>0</v>
      </c>
      <c r="R54" s="85">
        <f t="shared" si="16"/>
        <v>90000</v>
      </c>
      <c r="S54" s="99" t="s">
        <v>227</v>
      </c>
      <c r="T54" s="124">
        <f t="shared" si="2"/>
        <v>1</v>
      </c>
    </row>
    <row r="55" spans="1:20" ht="25.5" x14ac:dyDescent="0.2">
      <c r="A55" s="96" t="s">
        <v>96</v>
      </c>
      <c r="B55" s="155"/>
      <c r="C55" s="10" t="s">
        <v>102</v>
      </c>
      <c r="D55" s="34">
        <v>21000</v>
      </c>
      <c r="E55" s="12">
        <f t="shared" si="13"/>
        <v>1500.0000000000036</v>
      </c>
      <c r="F55" s="19">
        <v>7500</v>
      </c>
      <c r="G55" s="12"/>
      <c r="H55" s="34">
        <f t="shared" si="14"/>
        <v>30000.000000000004</v>
      </c>
      <c r="I55" s="142"/>
      <c r="J55" s="146">
        <f t="shared" si="17"/>
        <v>0.25</v>
      </c>
      <c r="K55" s="41">
        <f t="shared" si="18"/>
        <v>21000</v>
      </c>
      <c r="L55" s="41"/>
      <c r="M55" s="121">
        <v>7500</v>
      </c>
      <c r="N55" s="83">
        <v>21000</v>
      </c>
      <c r="O55" s="83">
        <v>1500</v>
      </c>
      <c r="P55" s="83">
        <v>7500</v>
      </c>
      <c r="Q55" s="83">
        <v>0</v>
      </c>
      <c r="R55" s="85">
        <f t="shared" si="16"/>
        <v>30000</v>
      </c>
      <c r="S55" s="99" t="s">
        <v>227</v>
      </c>
      <c r="T55" s="124">
        <f t="shared" si="2"/>
        <v>0.99999999999999989</v>
      </c>
    </row>
    <row r="56" spans="1:20" ht="25.5" x14ac:dyDescent="0.2">
      <c r="A56" s="96" t="s">
        <v>97</v>
      </c>
      <c r="B56" s="155"/>
      <c r="C56" s="10" t="s">
        <v>103</v>
      </c>
      <c r="D56" s="38">
        <v>73500</v>
      </c>
      <c r="E56" s="12">
        <f t="shared" si="13"/>
        <v>5250</v>
      </c>
      <c r="F56" s="19">
        <v>26250</v>
      </c>
      <c r="G56" s="12"/>
      <c r="H56" s="34">
        <f t="shared" si="14"/>
        <v>105000</v>
      </c>
      <c r="I56" s="142"/>
      <c r="J56" s="146">
        <f t="shared" si="17"/>
        <v>0.25</v>
      </c>
      <c r="K56" s="41">
        <f t="shared" si="18"/>
        <v>73500</v>
      </c>
      <c r="L56" s="41"/>
      <c r="M56" s="121">
        <v>26250</v>
      </c>
      <c r="N56" s="83">
        <v>73500</v>
      </c>
      <c r="O56" s="83">
        <v>5250</v>
      </c>
      <c r="P56" s="83">
        <v>26250</v>
      </c>
      <c r="Q56" s="83">
        <v>0</v>
      </c>
      <c r="R56" s="85">
        <f t="shared" si="16"/>
        <v>105000</v>
      </c>
      <c r="S56" s="99" t="s">
        <v>227</v>
      </c>
      <c r="T56" s="124">
        <f t="shared" si="2"/>
        <v>1</v>
      </c>
    </row>
    <row r="57" spans="1:20" s="8" customFormat="1" ht="15.75" x14ac:dyDescent="0.2">
      <c r="A57" s="96" t="s">
        <v>98</v>
      </c>
      <c r="B57" s="155"/>
      <c r="C57" s="13" t="s">
        <v>107</v>
      </c>
      <c r="D57" s="33">
        <v>28000</v>
      </c>
      <c r="E57" s="15">
        <f t="shared" si="13"/>
        <v>9500</v>
      </c>
      <c r="F57" s="15">
        <v>2500</v>
      </c>
      <c r="G57" s="20"/>
      <c r="H57" s="33">
        <f t="shared" si="14"/>
        <v>40000</v>
      </c>
      <c r="I57" s="142"/>
      <c r="J57" s="146">
        <f t="shared" si="17"/>
        <v>6.25E-2</v>
      </c>
      <c r="K57" s="44"/>
      <c r="L57" s="42">
        <v>28000</v>
      </c>
      <c r="M57" s="123">
        <v>2500</v>
      </c>
      <c r="N57" s="83">
        <v>28000</v>
      </c>
      <c r="O57" s="83">
        <v>9500</v>
      </c>
      <c r="P57" s="83">
        <v>2500</v>
      </c>
      <c r="Q57" s="83">
        <v>0</v>
      </c>
      <c r="R57" s="85">
        <f t="shared" si="16"/>
        <v>40000</v>
      </c>
      <c r="S57" s="99" t="s">
        <v>227</v>
      </c>
      <c r="T57" s="124">
        <f t="shared" si="2"/>
        <v>1</v>
      </c>
    </row>
    <row r="58" spans="1:20" ht="15" x14ac:dyDescent="0.2">
      <c r="A58" s="96" t="s">
        <v>99</v>
      </c>
      <c r="B58" s="155"/>
      <c r="C58" s="10" t="s">
        <v>108</v>
      </c>
      <c r="D58" s="38">
        <v>31500</v>
      </c>
      <c r="E58" s="12">
        <f t="shared" si="13"/>
        <v>2250</v>
      </c>
      <c r="F58" s="19">
        <v>11250</v>
      </c>
      <c r="G58" s="12"/>
      <c r="H58" s="34">
        <f t="shared" si="14"/>
        <v>45000</v>
      </c>
      <c r="I58" s="142"/>
      <c r="J58" s="146">
        <f t="shared" si="17"/>
        <v>0.25</v>
      </c>
      <c r="K58" s="41">
        <f t="shared" ref="K58:K60" si="19">D58</f>
        <v>31500</v>
      </c>
      <c r="L58" s="41"/>
      <c r="M58" s="121">
        <v>11250</v>
      </c>
      <c r="N58" s="83">
        <v>31500</v>
      </c>
      <c r="O58" s="83">
        <v>2250</v>
      </c>
      <c r="P58" s="83">
        <v>11250</v>
      </c>
      <c r="Q58" s="83">
        <v>0</v>
      </c>
      <c r="R58" s="85">
        <f t="shared" si="16"/>
        <v>45000</v>
      </c>
      <c r="S58" s="99" t="s">
        <v>227</v>
      </c>
      <c r="T58" s="124">
        <f t="shared" si="2"/>
        <v>1</v>
      </c>
    </row>
    <row r="59" spans="1:20" ht="15" x14ac:dyDescent="0.2">
      <c r="A59" s="96" t="s">
        <v>100</v>
      </c>
      <c r="B59" s="155"/>
      <c r="C59" s="10" t="s">
        <v>109</v>
      </c>
      <c r="D59" s="38">
        <v>42000</v>
      </c>
      <c r="E59" s="12">
        <f t="shared" si="13"/>
        <v>3000.0000000000073</v>
      </c>
      <c r="F59" s="19">
        <v>15000</v>
      </c>
      <c r="G59" s="12"/>
      <c r="H59" s="34">
        <f t="shared" si="14"/>
        <v>60000.000000000007</v>
      </c>
      <c r="I59" s="142"/>
      <c r="J59" s="146">
        <f t="shared" si="17"/>
        <v>0.25</v>
      </c>
      <c r="K59" s="41">
        <f t="shared" si="19"/>
        <v>42000</v>
      </c>
      <c r="L59" s="41"/>
      <c r="M59" s="121">
        <v>15000</v>
      </c>
      <c r="N59" s="83">
        <v>42000</v>
      </c>
      <c r="O59" s="83">
        <v>3000</v>
      </c>
      <c r="P59" s="83">
        <v>15000</v>
      </c>
      <c r="Q59" s="83">
        <v>0</v>
      </c>
      <c r="R59" s="85">
        <f t="shared" si="16"/>
        <v>60000</v>
      </c>
      <c r="S59" s="99" t="s">
        <v>227</v>
      </c>
      <c r="T59" s="124">
        <f t="shared" si="2"/>
        <v>0.99999999999999989</v>
      </c>
    </row>
    <row r="60" spans="1:20" ht="25.5" x14ac:dyDescent="0.2">
      <c r="A60" s="96" t="s">
        <v>101</v>
      </c>
      <c r="B60" s="156"/>
      <c r="C60" s="10" t="s">
        <v>78</v>
      </c>
      <c r="D60" s="38">
        <v>31500</v>
      </c>
      <c r="E60" s="12">
        <f t="shared" si="13"/>
        <v>2250</v>
      </c>
      <c r="F60" s="19">
        <v>11250</v>
      </c>
      <c r="G60" s="12"/>
      <c r="H60" s="34">
        <f t="shared" si="14"/>
        <v>45000</v>
      </c>
      <c r="I60" s="142"/>
      <c r="J60" s="146">
        <f t="shared" si="17"/>
        <v>0.25</v>
      </c>
      <c r="K60" s="41">
        <f t="shared" si="19"/>
        <v>31500</v>
      </c>
      <c r="L60" s="41"/>
      <c r="M60" s="121">
        <v>11250</v>
      </c>
      <c r="N60" s="83">
        <v>31500</v>
      </c>
      <c r="O60" s="83">
        <v>2250</v>
      </c>
      <c r="P60" s="83">
        <v>11250</v>
      </c>
      <c r="Q60" s="83">
        <v>0</v>
      </c>
      <c r="R60" s="85">
        <f t="shared" si="16"/>
        <v>45000</v>
      </c>
      <c r="S60" s="99" t="s">
        <v>227</v>
      </c>
      <c r="T60" s="124">
        <f t="shared" si="2"/>
        <v>1</v>
      </c>
    </row>
    <row r="61" spans="1:20" s="108" customFormat="1" ht="15.75" x14ac:dyDescent="0.25">
      <c r="A61" s="188" t="s">
        <v>110</v>
      </c>
      <c r="B61" s="189"/>
      <c r="C61" s="190"/>
      <c r="D61" s="100">
        <f>SUM(D35:D60)</f>
        <v>1180900</v>
      </c>
      <c r="E61" s="100">
        <f>SUM(E35:E60)</f>
        <v>108350.00000000003</v>
      </c>
      <c r="F61" s="100">
        <f>SUM(F35:F60)</f>
        <v>397750</v>
      </c>
      <c r="G61" s="100">
        <f>SUM(G35:G60)</f>
        <v>0</v>
      </c>
      <c r="H61" s="100">
        <f>SUM(H35:H60)</f>
        <v>1687000</v>
      </c>
      <c r="I61" s="101"/>
      <c r="J61" s="146">
        <f t="shared" si="17"/>
        <v>0.24555423829282749</v>
      </c>
      <c r="K61" s="102">
        <f>SUM(K35:K56)+K58+K59+K60</f>
        <v>1152900</v>
      </c>
      <c r="L61" s="103">
        <f>SUM(L35:L60)</f>
        <v>28000</v>
      </c>
      <c r="M61" s="104">
        <f>SUM(M35:M60)</f>
        <v>397750</v>
      </c>
      <c r="N61" s="105">
        <f t="shared" ref="N61:Q61" si="20">SUM(N35:N60)</f>
        <v>1180900</v>
      </c>
      <c r="O61" s="105">
        <f t="shared" si="20"/>
        <v>91850</v>
      </c>
      <c r="P61" s="105">
        <f t="shared" si="20"/>
        <v>414250</v>
      </c>
      <c r="Q61" s="105">
        <f t="shared" si="20"/>
        <v>0</v>
      </c>
      <c r="R61" s="106">
        <f>N61+O61+P61+Q61</f>
        <v>1687000</v>
      </c>
      <c r="S61" s="107"/>
      <c r="T61" s="124">
        <f t="shared" si="2"/>
        <v>1</v>
      </c>
    </row>
    <row r="62" spans="1:20" ht="25.5" x14ac:dyDescent="0.2">
      <c r="A62" s="96" t="s">
        <v>104</v>
      </c>
      <c r="B62" s="154" t="s">
        <v>14</v>
      </c>
      <c r="C62" s="13" t="s">
        <v>111</v>
      </c>
      <c r="D62" s="33">
        <v>41834.32</v>
      </c>
      <c r="E62" s="15">
        <v>11952.67</v>
      </c>
      <c r="F62" s="15">
        <v>5976.33</v>
      </c>
      <c r="G62" s="20"/>
      <c r="H62" s="33">
        <f>D62+E62+F62</f>
        <v>59763.32</v>
      </c>
      <c r="I62" s="142"/>
      <c r="J62" s="146">
        <f t="shared" si="17"/>
        <v>9.9999966534657037E-2</v>
      </c>
      <c r="K62" s="41"/>
      <c r="L62" s="41">
        <v>41834.32</v>
      </c>
      <c r="M62" s="41">
        <v>5976.33</v>
      </c>
      <c r="N62" s="83">
        <f>D62</f>
        <v>41834.32</v>
      </c>
      <c r="O62" s="83">
        <f t="shared" ref="O62:Q62" si="21">E62</f>
        <v>11952.67</v>
      </c>
      <c r="P62" s="83">
        <f t="shared" si="21"/>
        <v>5976.33</v>
      </c>
      <c r="Q62" s="83">
        <f t="shared" si="21"/>
        <v>0</v>
      </c>
      <c r="R62" s="85">
        <f t="shared" ref="R62:R70" si="22">N62+O62+P62+Q62</f>
        <v>59763.32</v>
      </c>
      <c r="S62" s="99" t="s">
        <v>227</v>
      </c>
      <c r="T62" s="124">
        <f t="shared" si="2"/>
        <v>1</v>
      </c>
    </row>
    <row r="63" spans="1:20" ht="25.5" x14ac:dyDescent="0.2">
      <c r="A63" s="96" t="s">
        <v>105</v>
      </c>
      <c r="B63" s="155"/>
      <c r="C63" s="10" t="s">
        <v>112</v>
      </c>
      <c r="D63" s="38">
        <v>64381.1</v>
      </c>
      <c r="E63" s="12">
        <f t="shared" ref="E63:E70" si="23">H63-D63-F63-G63</f>
        <v>20234.060000000001</v>
      </c>
      <c r="F63" s="19">
        <v>7357.84</v>
      </c>
      <c r="G63" s="12"/>
      <c r="H63" s="34">
        <f t="shared" ref="H63:H70" si="24">D63/0.7</f>
        <v>91973</v>
      </c>
      <c r="I63" s="142"/>
      <c r="J63" s="146">
        <f t="shared" si="17"/>
        <v>0.08</v>
      </c>
      <c r="K63" s="41">
        <f t="shared" ref="K63:K70" si="25">D63</f>
        <v>64381.1</v>
      </c>
      <c r="L63" s="41"/>
      <c r="M63" s="41">
        <v>7357.84</v>
      </c>
      <c r="N63" s="83">
        <f t="shared" ref="N63:N70" si="26">D63</f>
        <v>64381.1</v>
      </c>
      <c r="O63" s="83">
        <f t="shared" ref="O63:O70" si="27">E63</f>
        <v>20234.060000000001</v>
      </c>
      <c r="P63" s="83">
        <f t="shared" ref="P63:P70" si="28">F63</f>
        <v>7357.84</v>
      </c>
      <c r="Q63" s="83">
        <f t="shared" ref="Q63:Q70" si="29">G63</f>
        <v>0</v>
      </c>
      <c r="R63" s="85">
        <f t="shared" si="22"/>
        <v>91973</v>
      </c>
      <c r="S63" s="99" t="s">
        <v>227</v>
      </c>
      <c r="T63" s="124">
        <f t="shared" si="2"/>
        <v>1</v>
      </c>
    </row>
    <row r="64" spans="1:20" ht="25.5" x14ac:dyDescent="0.2">
      <c r="A64" s="96" t="s">
        <v>106</v>
      </c>
      <c r="B64" s="155"/>
      <c r="C64" s="10" t="s">
        <v>113</v>
      </c>
      <c r="D64" s="38">
        <v>281884.12</v>
      </c>
      <c r="E64" s="12">
        <f t="shared" si="23"/>
        <v>96645.98000000004</v>
      </c>
      <c r="F64" s="19">
        <v>24161.5</v>
      </c>
      <c r="G64" s="12"/>
      <c r="H64" s="34">
        <f t="shared" si="24"/>
        <v>402691.60000000003</v>
      </c>
      <c r="I64" s="142"/>
      <c r="J64" s="146">
        <f t="shared" si="17"/>
        <v>6.0000009933159765E-2</v>
      </c>
      <c r="K64" s="41">
        <f t="shared" si="25"/>
        <v>281884.12</v>
      </c>
      <c r="L64" s="41"/>
      <c r="M64" s="41">
        <v>24161.5</v>
      </c>
      <c r="N64" s="83">
        <f t="shared" si="26"/>
        <v>281884.12</v>
      </c>
      <c r="O64" s="83">
        <f t="shared" si="27"/>
        <v>96645.98000000004</v>
      </c>
      <c r="P64" s="83">
        <f t="shared" si="28"/>
        <v>24161.5</v>
      </c>
      <c r="Q64" s="83">
        <f t="shared" si="29"/>
        <v>0</v>
      </c>
      <c r="R64" s="85">
        <f t="shared" si="22"/>
        <v>402691.60000000003</v>
      </c>
      <c r="S64" s="99" t="s">
        <v>227</v>
      </c>
      <c r="T64" s="124">
        <f t="shared" si="2"/>
        <v>1</v>
      </c>
    </row>
    <row r="65" spans="1:20" ht="38.25" x14ac:dyDescent="0.2">
      <c r="A65" s="96" t="s">
        <v>115</v>
      </c>
      <c r="B65" s="155"/>
      <c r="C65" s="10" t="s">
        <v>114</v>
      </c>
      <c r="D65" s="38">
        <v>136531.64000000001</v>
      </c>
      <c r="E65" s="12">
        <f t="shared" si="23"/>
        <v>39009.040000000023</v>
      </c>
      <c r="F65" s="19">
        <v>19504.52</v>
      </c>
      <c r="G65" s="12"/>
      <c r="H65" s="34">
        <f t="shared" si="24"/>
        <v>195045.20000000004</v>
      </c>
      <c r="I65" s="142"/>
      <c r="J65" s="146">
        <f t="shared" si="17"/>
        <v>9.9999999999999978E-2</v>
      </c>
      <c r="K65" s="41">
        <f t="shared" si="25"/>
        <v>136531.64000000001</v>
      </c>
      <c r="L65" s="41"/>
      <c r="M65" s="41">
        <v>19504.52</v>
      </c>
      <c r="N65" s="83">
        <f t="shared" si="26"/>
        <v>136531.64000000001</v>
      </c>
      <c r="O65" s="83">
        <f t="shared" si="27"/>
        <v>39009.040000000023</v>
      </c>
      <c r="P65" s="83">
        <f t="shared" si="28"/>
        <v>19504.52</v>
      </c>
      <c r="Q65" s="83">
        <f t="shared" si="29"/>
        <v>0</v>
      </c>
      <c r="R65" s="85">
        <f t="shared" si="22"/>
        <v>195045.20000000004</v>
      </c>
      <c r="S65" s="99" t="s">
        <v>227</v>
      </c>
      <c r="T65" s="124">
        <f t="shared" si="2"/>
        <v>1</v>
      </c>
    </row>
    <row r="66" spans="1:20" ht="15" x14ac:dyDescent="0.2">
      <c r="A66" s="96" t="s">
        <v>116</v>
      </c>
      <c r="B66" s="155"/>
      <c r="C66" s="10" t="s">
        <v>4</v>
      </c>
      <c r="D66" s="38">
        <v>196000</v>
      </c>
      <c r="E66" s="12">
        <f t="shared" si="23"/>
        <v>22400</v>
      </c>
      <c r="F66" s="19">
        <v>61600</v>
      </c>
      <c r="G66" s="12"/>
      <c r="H66" s="34">
        <f t="shared" si="24"/>
        <v>280000</v>
      </c>
      <c r="I66" s="142"/>
      <c r="J66" s="146">
        <f t="shared" si="17"/>
        <v>0.22</v>
      </c>
      <c r="K66" s="41">
        <f t="shared" si="25"/>
        <v>196000</v>
      </c>
      <c r="L66" s="41"/>
      <c r="M66" s="41">
        <v>61600</v>
      </c>
      <c r="N66" s="83">
        <f t="shared" si="26"/>
        <v>196000</v>
      </c>
      <c r="O66" s="83">
        <f t="shared" si="27"/>
        <v>22400</v>
      </c>
      <c r="P66" s="83">
        <f t="shared" si="28"/>
        <v>61600</v>
      </c>
      <c r="Q66" s="83">
        <f t="shared" si="29"/>
        <v>0</v>
      </c>
      <c r="R66" s="85">
        <f t="shared" si="22"/>
        <v>280000</v>
      </c>
      <c r="S66" s="99" t="s">
        <v>227</v>
      </c>
      <c r="T66" s="124">
        <f t="shared" si="2"/>
        <v>1</v>
      </c>
    </row>
    <row r="67" spans="1:20" ht="25.5" customHeight="1" x14ac:dyDescent="0.2">
      <c r="A67" s="96" t="s">
        <v>117</v>
      </c>
      <c r="B67" s="155"/>
      <c r="C67" s="10" t="s">
        <v>124</v>
      </c>
      <c r="D67" s="38">
        <v>484799</v>
      </c>
      <c r="E67" s="12">
        <f t="shared" si="23"/>
        <v>173142.5</v>
      </c>
      <c r="F67" s="19">
        <v>34628.5</v>
      </c>
      <c r="G67" s="12"/>
      <c r="H67" s="34">
        <f t="shared" si="24"/>
        <v>692570</v>
      </c>
      <c r="I67" s="142"/>
      <c r="J67" s="146">
        <f t="shared" si="17"/>
        <v>0.05</v>
      </c>
      <c r="K67" s="41">
        <f t="shared" si="25"/>
        <v>484799</v>
      </c>
      <c r="L67" s="41"/>
      <c r="M67" s="41">
        <f>34628.5+90.86</f>
        <v>34719.360000000001</v>
      </c>
      <c r="N67" s="83">
        <f t="shared" si="26"/>
        <v>484799</v>
      </c>
      <c r="O67" s="83">
        <f t="shared" si="27"/>
        <v>173142.5</v>
      </c>
      <c r="P67" s="83">
        <f t="shared" si="28"/>
        <v>34628.5</v>
      </c>
      <c r="Q67" s="83">
        <f t="shared" si="29"/>
        <v>0</v>
      </c>
      <c r="R67" s="85">
        <f t="shared" si="22"/>
        <v>692570</v>
      </c>
      <c r="S67" s="99" t="s">
        <v>227</v>
      </c>
      <c r="T67" s="124">
        <f t="shared" si="2"/>
        <v>1</v>
      </c>
    </row>
    <row r="68" spans="1:20" ht="25.5" x14ac:dyDescent="0.2">
      <c r="A68" s="96" t="s">
        <v>118</v>
      </c>
      <c r="B68" s="155"/>
      <c r="C68" s="10" t="s">
        <v>125</v>
      </c>
      <c r="D68" s="38">
        <v>66403.399999999994</v>
      </c>
      <c r="E68" s="12">
        <f t="shared" si="23"/>
        <v>18972.400000000005</v>
      </c>
      <c r="F68" s="19">
        <v>9486.2000000000007</v>
      </c>
      <c r="G68" s="12"/>
      <c r="H68" s="34">
        <f t="shared" si="24"/>
        <v>94862</v>
      </c>
      <c r="I68" s="142"/>
      <c r="J68" s="146">
        <f t="shared" si="17"/>
        <v>0.1</v>
      </c>
      <c r="K68" s="41">
        <f t="shared" si="25"/>
        <v>66403.399999999994</v>
      </c>
      <c r="L68" s="41"/>
      <c r="M68" s="41">
        <v>9486.2000000000007</v>
      </c>
      <c r="N68" s="83">
        <f t="shared" si="26"/>
        <v>66403.399999999994</v>
      </c>
      <c r="O68" s="83">
        <f t="shared" si="27"/>
        <v>18972.400000000005</v>
      </c>
      <c r="P68" s="83">
        <f t="shared" si="28"/>
        <v>9486.2000000000007</v>
      </c>
      <c r="Q68" s="83">
        <f t="shared" si="29"/>
        <v>0</v>
      </c>
      <c r="R68" s="85">
        <f t="shared" si="22"/>
        <v>94862</v>
      </c>
      <c r="S68" s="99" t="s">
        <v>227</v>
      </c>
      <c r="T68" s="124">
        <f t="shared" si="2"/>
        <v>1</v>
      </c>
    </row>
    <row r="69" spans="1:20" ht="38.25" x14ac:dyDescent="0.2">
      <c r="A69" s="96" t="s">
        <v>119</v>
      </c>
      <c r="B69" s="155"/>
      <c r="C69" s="10" t="s">
        <v>126</v>
      </c>
      <c r="D69" s="38">
        <v>100380</v>
      </c>
      <c r="E69" s="12">
        <f t="shared" si="23"/>
        <v>28680</v>
      </c>
      <c r="F69" s="19">
        <v>14340</v>
      </c>
      <c r="G69" s="12"/>
      <c r="H69" s="34">
        <f t="shared" si="24"/>
        <v>143400</v>
      </c>
      <c r="I69" s="142"/>
      <c r="J69" s="146">
        <f t="shared" si="17"/>
        <v>0.1</v>
      </c>
      <c r="K69" s="41">
        <f t="shared" si="25"/>
        <v>100380</v>
      </c>
      <c r="L69" s="41"/>
      <c r="M69" s="41">
        <v>14340</v>
      </c>
      <c r="N69" s="83">
        <f t="shared" si="26"/>
        <v>100380</v>
      </c>
      <c r="O69" s="83">
        <f t="shared" si="27"/>
        <v>28680</v>
      </c>
      <c r="P69" s="83">
        <f t="shared" si="28"/>
        <v>14340</v>
      </c>
      <c r="Q69" s="83">
        <f t="shared" si="29"/>
        <v>0</v>
      </c>
      <c r="R69" s="85">
        <f t="shared" si="22"/>
        <v>143400</v>
      </c>
      <c r="S69" s="99" t="s">
        <v>227</v>
      </c>
      <c r="T69" s="124">
        <f t="shared" si="2"/>
        <v>1</v>
      </c>
    </row>
    <row r="70" spans="1:20" ht="25.5" x14ac:dyDescent="0.2">
      <c r="A70" s="96" t="s">
        <v>120</v>
      </c>
      <c r="B70" s="156"/>
      <c r="C70" s="10" t="s">
        <v>193</v>
      </c>
      <c r="D70" s="38">
        <v>244585.9</v>
      </c>
      <c r="E70" s="12">
        <f t="shared" si="23"/>
        <v>80363.938571428589</v>
      </c>
      <c r="F70" s="19">
        <v>24458.59</v>
      </c>
      <c r="G70" s="12"/>
      <c r="H70" s="34">
        <f t="shared" si="24"/>
        <v>349408.42857142858</v>
      </c>
      <c r="I70" s="142"/>
      <c r="J70" s="146">
        <f t="shared" si="17"/>
        <v>6.9999999999999993E-2</v>
      </c>
      <c r="K70" s="41">
        <f t="shared" si="25"/>
        <v>244585.9</v>
      </c>
      <c r="L70" s="41"/>
      <c r="M70" s="41">
        <v>24458.59</v>
      </c>
      <c r="N70" s="83">
        <f t="shared" si="26"/>
        <v>244585.9</v>
      </c>
      <c r="O70" s="83">
        <f t="shared" si="27"/>
        <v>80363.938571428589</v>
      </c>
      <c r="P70" s="83">
        <f t="shared" si="28"/>
        <v>24458.59</v>
      </c>
      <c r="Q70" s="83">
        <f t="shared" si="29"/>
        <v>0</v>
      </c>
      <c r="R70" s="85">
        <f t="shared" si="22"/>
        <v>349408.42857142858</v>
      </c>
      <c r="S70" s="99" t="s">
        <v>227</v>
      </c>
      <c r="T70" s="124">
        <f t="shared" si="2"/>
        <v>1</v>
      </c>
    </row>
    <row r="71" spans="1:20" s="108" customFormat="1" ht="15.75" x14ac:dyDescent="0.25">
      <c r="A71" s="157" t="s">
        <v>127</v>
      </c>
      <c r="B71" s="158"/>
      <c r="C71" s="159"/>
      <c r="D71" s="100">
        <f>SUM(D62:D70)</f>
        <v>1616799.4799999997</v>
      </c>
      <c r="E71" s="100">
        <f>SUM(E62:E70)</f>
        <v>491400.58857142867</v>
      </c>
      <c r="F71" s="100">
        <f>SUM(F62:F70)</f>
        <v>201513.48</v>
      </c>
      <c r="G71" s="100">
        <f>SUM(G62:G70)</f>
        <v>0</v>
      </c>
      <c r="H71" s="100">
        <f>SUM(H62:H70)</f>
        <v>2309713.5485714287</v>
      </c>
      <c r="I71" s="101"/>
      <c r="J71" s="146">
        <f t="shared" si="17"/>
        <v>8.7246091674284598E-2</v>
      </c>
      <c r="K71" s="102">
        <f>SUM(K63:K70)</f>
        <v>1574965.1599999997</v>
      </c>
      <c r="L71" s="103">
        <f>L62</f>
        <v>41834.32</v>
      </c>
      <c r="M71" s="104">
        <f>SUM(M62:M70)</f>
        <v>201604.34</v>
      </c>
      <c r="N71" s="105">
        <f>SUM(N62:N70)</f>
        <v>1616799.4799999997</v>
      </c>
      <c r="O71" s="105">
        <f t="shared" ref="O71:Q71" si="30">SUM(O62:O70)</f>
        <v>491400.58857142867</v>
      </c>
      <c r="P71" s="105">
        <f t="shared" si="30"/>
        <v>201513.48</v>
      </c>
      <c r="Q71" s="105">
        <f t="shared" si="30"/>
        <v>0</v>
      </c>
      <c r="R71" s="106">
        <f>N71+O71+P71+Q71</f>
        <v>2309713.5485714283</v>
      </c>
      <c r="S71" s="107"/>
      <c r="T71" s="124">
        <f t="shared" si="2"/>
        <v>0.99999999999999978</v>
      </c>
    </row>
    <row r="72" spans="1:20" ht="25.5" x14ac:dyDescent="0.2">
      <c r="A72" s="4" t="s">
        <v>121</v>
      </c>
      <c r="B72" s="4" t="s">
        <v>198</v>
      </c>
      <c r="C72" s="13" t="s">
        <v>128</v>
      </c>
      <c r="D72" s="33">
        <v>419700.4</v>
      </c>
      <c r="E72" s="15">
        <f>H72-D72-F72-G72</f>
        <v>149871.60000000009</v>
      </c>
      <c r="F72" s="15">
        <v>30000</v>
      </c>
      <c r="G72" s="20"/>
      <c r="H72" s="33">
        <f>D72/0.7</f>
        <v>599572.00000000012</v>
      </c>
      <c r="I72" s="142"/>
      <c r="J72" s="146">
        <f t="shared" si="17"/>
        <v>5.003569212705062E-2</v>
      </c>
      <c r="K72" s="41"/>
      <c r="L72" s="41">
        <v>419700.4</v>
      </c>
      <c r="M72" s="41">
        <v>30000</v>
      </c>
      <c r="N72" s="83">
        <f t="shared" ref="N72" si="31">D72</f>
        <v>419700.4</v>
      </c>
      <c r="O72" s="83">
        <f t="shared" ref="O72" si="32">E72</f>
        <v>149871.60000000009</v>
      </c>
      <c r="P72" s="83">
        <f t="shared" ref="P72" si="33">F72</f>
        <v>30000</v>
      </c>
      <c r="Q72" s="83">
        <f t="shared" ref="Q72" si="34">G72</f>
        <v>0</v>
      </c>
      <c r="R72" s="85">
        <f>N72+O72+P72+Q72</f>
        <v>599572.00000000012</v>
      </c>
      <c r="S72" s="99" t="s">
        <v>227</v>
      </c>
      <c r="T72" s="124">
        <f t="shared" si="2"/>
        <v>1</v>
      </c>
    </row>
    <row r="73" spans="1:20" s="108" customFormat="1" ht="15.75" x14ac:dyDescent="0.25">
      <c r="A73" s="157" t="s">
        <v>129</v>
      </c>
      <c r="B73" s="191"/>
      <c r="C73" s="192"/>
      <c r="D73" s="110">
        <f>D72</f>
        <v>419700.4</v>
      </c>
      <c r="E73" s="110">
        <f>E72</f>
        <v>149871.60000000009</v>
      </c>
      <c r="F73" s="110">
        <f>F72</f>
        <v>30000</v>
      </c>
      <c r="G73" s="110">
        <f>G72</f>
        <v>0</v>
      </c>
      <c r="H73" s="110">
        <f>H72</f>
        <v>599572.00000000012</v>
      </c>
      <c r="I73" s="111"/>
      <c r="J73" s="146">
        <f t="shared" si="17"/>
        <v>5.003569212705062E-2</v>
      </c>
      <c r="K73" s="102">
        <f>0</f>
        <v>0</v>
      </c>
      <c r="L73" s="103">
        <f>L72</f>
        <v>419700.4</v>
      </c>
      <c r="M73" s="104">
        <f>M72</f>
        <v>30000</v>
      </c>
      <c r="N73" s="105">
        <f>N72</f>
        <v>419700.4</v>
      </c>
      <c r="O73" s="105">
        <f t="shared" ref="O73:Q73" si="35">O72</f>
        <v>149871.60000000009</v>
      </c>
      <c r="P73" s="105">
        <f t="shared" si="35"/>
        <v>30000</v>
      </c>
      <c r="Q73" s="105">
        <f t="shared" si="35"/>
        <v>0</v>
      </c>
      <c r="R73" s="106">
        <f>N73+O73+P73+Q73</f>
        <v>599572.00000000012</v>
      </c>
      <c r="S73" s="107"/>
      <c r="T73" s="124">
        <f t="shared" si="2"/>
        <v>1</v>
      </c>
    </row>
    <row r="74" spans="1:20" ht="15" x14ac:dyDescent="0.2">
      <c r="A74" s="96" t="s">
        <v>122</v>
      </c>
      <c r="B74" s="154" t="s">
        <v>179</v>
      </c>
      <c r="C74" s="10" t="s">
        <v>196</v>
      </c>
      <c r="D74" s="38">
        <v>160307</v>
      </c>
      <c r="E74" s="12">
        <v>45801.75</v>
      </c>
      <c r="F74" s="19">
        <v>22901.25</v>
      </c>
      <c r="G74" s="12"/>
      <c r="H74" s="34">
        <f>D74/0.7</f>
        <v>229010</v>
      </c>
      <c r="I74" s="142"/>
      <c r="J74" s="146">
        <f t="shared" si="17"/>
        <v>0.10000109165538623</v>
      </c>
      <c r="K74" s="41">
        <f t="shared" ref="K74:K78" si="36">D74</f>
        <v>160307</v>
      </c>
      <c r="L74" s="41"/>
      <c r="M74" s="121">
        <v>22901.25</v>
      </c>
      <c r="N74" s="83">
        <v>160307</v>
      </c>
      <c r="O74" s="83">
        <f>H74-N74-P74</f>
        <v>45801.75</v>
      </c>
      <c r="P74" s="83">
        <v>22901.25</v>
      </c>
      <c r="Q74" s="83"/>
      <c r="R74" s="85">
        <f t="shared" ref="R74:R78" si="37">N74+O74+P74+Q74</f>
        <v>229010</v>
      </c>
      <c r="S74" s="99" t="s">
        <v>227</v>
      </c>
      <c r="T74" s="124">
        <f t="shared" si="2"/>
        <v>1</v>
      </c>
    </row>
    <row r="75" spans="1:20" ht="25.5" x14ac:dyDescent="0.2">
      <c r="A75" s="96" t="s">
        <v>123</v>
      </c>
      <c r="B75" s="155"/>
      <c r="C75" s="10" t="s">
        <v>130</v>
      </c>
      <c r="D75" s="38">
        <v>87345.3</v>
      </c>
      <c r="E75" s="12">
        <v>22460.22</v>
      </c>
      <c r="F75" s="12">
        <v>14973.48</v>
      </c>
      <c r="G75" s="12"/>
      <c r="H75" s="34">
        <f>D75/0.7</f>
        <v>124779.00000000001</v>
      </c>
      <c r="I75" s="142"/>
      <c r="J75" s="146">
        <f t="shared" si="17"/>
        <v>0.11999999999999998</v>
      </c>
      <c r="K75" s="41">
        <f t="shared" si="36"/>
        <v>87345.3</v>
      </c>
      <c r="L75" s="41"/>
      <c r="M75" s="121">
        <v>14973.48</v>
      </c>
      <c r="N75" s="83">
        <v>87345.3</v>
      </c>
      <c r="O75" s="83">
        <f t="shared" ref="O75:O78" si="38">H75-N75-P75</f>
        <v>22460.220000000012</v>
      </c>
      <c r="P75" s="83">
        <v>14973.48</v>
      </c>
      <c r="Q75" s="83"/>
      <c r="R75" s="85">
        <f t="shared" si="37"/>
        <v>124779.00000000001</v>
      </c>
      <c r="S75" s="99" t="s">
        <v>227</v>
      </c>
      <c r="T75" s="124">
        <f t="shared" si="2"/>
        <v>1</v>
      </c>
    </row>
    <row r="76" spans="1:20" ht="15" x14ac:dyDescent="0.2">
      <c r="A76" s="4" t="s">
        <v>182</v>
      </c>
      <c r="B76" s="155"/>
      <c r="C76" s="10" t="s">
        <v>195</v>
      </c>
      <c r="D76" s="38">
        <v>198562</v>
      </c>
      <c r="E76" s="12">
        <v>31202.6</v>
      </c>
      <c r="F76" s="12">
        <v>53895.4</v>
      </c>
      <c r="G76" s="12"/>
      <c r="H76" s="34">
        <f>D76/0.7</f>
        <v>283660</v>
      </c>
      <c r="I76" s="142"/>
      <c r="J76" s="146">
        <f t="shared" si="17"/>
        <v>0.19</v>
      </c>
      <c r="K76" s="41">
        <f t="shared" si="36"/>
        <v>198562</v>
      </c>
      <c r="L76" s="41"/>
      <c r="M76" s="121">
        <v>53895.4</v>
      </c>
      <c r="N76" s="83">
        <f t="shared" ref="N76" si="39">D76</f>
        <v>198562</v>
      </c>
      <c r="O76" s="83">
        <f t="shared" si="38"/>
        <v>31202.6</v>
      </c>
      <c r="P76" s="83">
        <v>53895.4</v>
      </c>
      <c r="Q76" s="83">
        <f t="shared" ref="Q76" si="40">G76</f>
        <v>0</v>
      </c>
      <c r="R76" s="85">
        <f t="shared" si="37"/>
        <v>283660</v>
      </c>
      <c r="S76" s="99" t="s">
        <v>227</v>
      </c>
      <c r="T76" s="124">
        <f t="shared" ref="T76:T109" si="41">R76/H76</f>
        <v>1</v>
      </c>
    </row>
    <row r="77" spans="1:20" ht="25.5" x14ac:dyDescent="0.2">
      <c r="A77" s="96" t="s">
        <v>132</v>
      </c>
      <c r="B77" s="155"/>
      <c r="C77" s="10" t="s">
        <v>194</v>
      </c>
      <c r="D77" s="38">
        <v>92254.399999999994</v>
      </c>
      <c r="E77" s="12">
        <v>32948</v>
      </c>
      <c r="F77" s="12">
        <v>6589.6</v>
      </c>
      <c r="G77" s="12"/>
      <c r="H77" s="34">
        <f>D77+E77+F77</f>
        <v>131792</v>
      </c>
      <c r="I77" s="142"/>
      <c r="J77" s="146">
        <f t="shared" si="17"/>
        <v>0.05</v>
      </c>
      <c r="K77" s="41">
        <f t="shared" si="36"/>
        <v>92254.399999999994</v>
      </c>
      <c r="L77" s="41"/>
      <c r="M77" s="121">
        <v>6589.6</v>
      </c>
      <c r="N77" s="83">
        <v>92254.399999999994</v>
      </c>
      <c r="O77" s="83">
        <f t="shared" si="38"/>
        <v>32948.000000000007</v>
      </c>
      <c r="P77" s="83">
        <v>6589.6</v>
      </c>
      <c r="Q77" s="83"/>
      <c r="R77" s="85">
        <f t="shared" si="37"/>
        <v>131792</v>
      </c>
      <c r="S77" s="99" t="s">
        <v>227</v>
      </c>
      <c r="T77" s="124">
        <f t="shared" si="41"/>
        <v>1</v>
      </c>
    </row>
    <row r="78" spans="1:20" ht="25.5" x14ac:dyDescent="0.2">
      <c r="A78" s="96" t="s">
        <v>133</v>
      </c>
      <c r="B78" s="156"/>
      <c r="C78" s="10" t="s">
        <v>131</v>
      </c>
      <c r="D78" s="38">
        <v>115500</v>
      </c>
      <c r="E78" s="12">
        <v>31350</v>
      </c>
      <c r="F78" s="19">
        <v>18150</v>
      </c>
      <c r="G78" s="12"/>
      <c r="H78" s="34">
        <f>D78/0.7</f>
        <v>165000</v>
      </c>
      <c r="I78" s="142"/>
      <c r="J78" s="146">
        <f t="shared" si="17"/>
        <v>0.11</v>
      </c>
      <c r="K78" s="41">
        <f t="shared" si="36"/>
        <v>115500</v>
      </c>
      <c r="L78" s="41"/>
      <c r="M78" s="121">
        <v>18150</v>
      </c>
      <c r="N78" s="83">
        <v>115500</v>
      </c>
      <c r="O78" s="83">
        <f t="shared" si="38"/>
        <v>31350</v>
      </c>
      <c r="P78" s="83">
        <v>18150</v>
      </c>
      <c r="Q78" s="83"/>
      <c r="R78" s="85">
        <f t="shared" si="37"/>
        <v>165000</v>
      </c>
      <c r="S78" s="99" t="s">
        <v>227</v>
      </c>
      <c r="T78" s="124">
        <f t="shared" si="41"/>
        <v>1</v>
      </c>
    </row>
    <row r="79" spans="1:20" s="108" customFormat="1" ht="15.75" x14ac:dyDescent="0.25">
      <c r="A79" s="157" t="s">
        <v>180</v>
      </c>
      <c r="B79" s="158"/>
      <c r="C79" s="159"/>
      <c r="D79" s="100">
        <f>SUM(D74:D78)</f>
        <v>653968.69999999995</v>
      </c>
      <c r="E79" s="100">
        <f>SUM(E74:E78)</f>
        <v>163762.57</v>
      </c>
      <c r="F79" s="100">
        <f>SUM(F74:F78)</f>
        <v>116509.73000000001</v>
      </c>
      <c r="G79" s="100">
        <f>SUM(G74:G78)</f>
        <v>0</v>
      </c>
      <c r="H79" s="100">
        <f>SUM(H74:H78)</f>
        <v>934241</v>
      </c>
      <c r="I79" s="101"/>
      <c r="J79" s="146">
        <f t="shared" si="17"/>
        <v>0.12471057253963379</v>
      </c>
      <c r="K79" s="102">
        <f>SUM(K74:K78)</f>
        <v>653968.69999999995</v>
      </c>
      <c r="L79" s="103">
        <f>0</f>
        <v>0</v>
      </c>
      <c r="M79" s="104">
        <f>SUM(M74:M78)</f>
        <v>116509.73000000001</v>
      </c>
      <c r="N79" s="105">
        <f>SUM(N74:N78)</f>
        <v>653968.69999999995</v>
      </c>
      <c r="O79" s="105">
        <f t="shared" ref="O79:Q79" si="42">SUM(O74:O78)</f>
        <v>163762.57</v>
      </c>
      <c r="P79" s="105">
        <f t="shared" si="42"/>
        <v>116509.73000000001</v>
      </c>
      <c r="Q79" s="105">
        <f t="shared" si="42"/>
        <v>0</v>
      </c>
      <c r="R79" s="106">
        <f>N79+O79+P79+Q79</f>
        <v>934241</v>
      </c>
      <c r="S79" s="107"/>
      <c r="T79" s="124">
        <f t="shared" si="41"/>
        <v>1</v>
      </c>
    </row>
    <row r="80" spans="1:20" ht="15" customHeight="1" x14ac:dyDescent="0.2">
      <c r="A80" s="96" t="s">
        <v>134</v>
      </c>
      <c r="B80" s="166" t="s">
        <v>177</v>
      </c>
      <c r="C80" s="10" t="s">
        <v>197</v>
      </c>
      <c r="D80" s="40">
        <v>111707.4</v>
      </c>
      <c r="E80" s="12">
        <f t="shared" ref="E80:E95" si="43">H80-D80-F80-G80</f>
        <v>31916.400000000005</v>
      </c>
      <c r="F80" s="24">
        <v>15958.2</v>
      </c>
      <c r="G80" s="12"/>
      <c r="H80" s="34">
        <f t="shared" ref="H80:H95" si="44">D80/0.7</f>
        <v>159582</v>
      </c>
      <c r="I80" s="142"/>
      <c r="J80" s="146">
        <f t="shared" si="17"/>
        <v>0.1</v>
      </c>
      <c r="K80" s="41">
        <f>D80</f>
        <v>111707.4</v>
      </c>
      <c r="L80" s="41"/>
      <c r="M80" s="41">
        <v>15958.2</v>
      </c>
      <c r="N80" s="83">
        <f>D80</f>
        <v>111707.4</v>
      </c>
      <c r="O80" s="83">
        <f t="shared" ref="O80:O95" si="45">E80</f>
        <v>31916.400000000005</v>
      </c>
      <c r="P80" s="83">
        <f t="shared" ref="P80:P95" si="46">F80</f>
        <v>15958.2</v>
      </c>
      <c r="Q80" s="83"/>
      <c r="R80" s="85">
        <f t="shared" ref="R80:R85" si="47">N80+O80+P80+Q80</f>
        <v>159582</v>
      </c>
      <c r="S80" s="99" t="s">
        <v>227</v>
      </c>
      <c r="T80" s="124">
        <f t="shared" si="41"/>
        <v>1</v>
      </c>
    </row>
    <row r="81" spans="1:20" ht="15.75" x14ac:dyDescent="0.2">
      <c r="A81" s="96" t="s">
        <v>135</v>
      </c>
      <c r="B81" s="167"/>
      <c r="C81" s="13" t="s">
        <v>154</v>
      </c>
      <c r="D81" s="33">
        <v>54689.599999999999</v>
      </c>
      <c r="E81" s="15">
        <f t="shared" si="43"/>
        <v>18438.400000000001</v>
      </c>
      <c r="F81" s="15">
        <v>5000</v>
      </c>
      <c r="G81" s="20"/>
      <c r="H81" s="33">
        <f t="shared" si="44"/>
        <v>78128</v>
      </c>
      <c r="I81" s="142"/>
      <c r="J81" s="146">
        <f t="shared" si="17"/>
        <v>6.3997542494368218E-2</v>
      </c>
      <c r="K81" s="43"/>
      <c r="L81" s="43">
        <v>54689.599999999999</v>
      </c>
      <c r="M81" s="43">
        <v>5000</v>
      </c>
      <c r="N81" s="83">
        <f t="shared" ref="N81:N95" si="48">D81</f>
        <v>54689.599999999999</v>
      </c>
      <c r="O81" s="83">
        <f t="shared" si="45"/>
        <v>18438.400000000001</v>
      </c>
      <c r="P81" s="83">
        <f t="shared" si="46"/>
        <v>5000</v>
      </c>
      <c r="Q81" s="83"/>
      <c r="R81" s="85">
        <f t="shared" si="47"/>
        <v>78128</v>
      </c>
      <c r="S81" s="99" t="s">
        <v>227</v>
      </c>
      <c r="T81" s="124">
        <f t="shared" si="41"/>
        <v>1</v>
      </c>
    </row>
    <row r="82" spans="1:20" ht="15.75" x14ac:dyDescent="0.2">
      <c r="A82" s="96" t="s">
        <v>136</v>
      </c>
      <c r="B82" s="167"/>
      <c r="C82" s="13" t="s">
        <v>155</v>
      </c>
      <c r="D82" s="33">
        <v>48889.4</v>
      </c>
      <c r="E82" s="15">
        <f t="shared" si="43"/>
        <v>17452.599999999999</v>
      </c>
      <c r="F82" s="15">
        <v>3500</v>
      </c>
      <c r="G82" s="20"/>
      <c r="H82" s="33">
        <f t="shared" si="44"/>
        <v>69842</v>
      </c>
      <c r="I82" s="142"/>
      <c r="J82" s="146">
        <f t="shared" si="17"/>
        <v>5.0113112453824347E-2</v>
      </c>
      <c r="K82" s="43"/>
      <c r="L82" s="43">
        <v>48889.4</v>
      </c>
      <c r="M82" s="43">
        <v>3500</v>
      </c>
      <c r="N82" s="83">
        <f t="shared" si="48"/>
        <v>48889.4</v>
      </c>
      <c r="O82" s="83">
        <f t="shared" si="45"/>
        <v>17452.599999999999</v>
      </c>
      <c r="P82" s="83">
        <f t="shared" si="46"/>
        <v>3500</v>
      </c>
      <c r="Q82" s="83"/>
      <c r="R82" s="85">
        <f t="shared" si="47"/>
        <v>69842</v>
      </c>
      <c r="S82" s="99" t="s">
        <v>227</v>
      </c>
      <c r="T82" s="124">
        <f t="shared" si="41"/>
        <v>1</v>
      </c>
    </row>
    <row r="83" spans="1:20" ht="15" x14ac:dyDescent="0.2">
      <c r="A83" s="96" t="s">
        <v>137</v>
      </c>
      <c r="B83" s="167"/>
      <c r="C83" s="10" t="s">
        <v>156</v>
      </c>
      <c r="D83" s="40">
        <v>28777.7</v>
      </c>
      <c r="E83" s="12">
        <f t="shared" si="43"/>
        <v>8333.3000000000065</v>
      </c>
      <c r="F83" s="24">
        <v>4000</v>
      </c>
      <c r="G83" s="12"/>
      <c r="H83" s="34">
        <f t="shared" si="44"/>
        <v>41111.000000000007</v>
      </c>
      <c r="I83" s="142"/>
      <c r="J83" s="146">
        <f t="shared" si="17"/>
        <v>9.7297560263676378E-2</v>
      </c>
      <c r="K83" s="43">
        <f>D83</f>
        <v>28777.7</v>
      </c>
      <c r="L83" s="43"/>
      <c r="M83" s="43">
        <v>4000</v>
      </c>
      <c r="N83" s="83">
        <f t="shared" si="48"/>
        <v>28777.7</v>
      </c>
      <c r="O83" s="83">
        <f t="shared" si="45"/>
        <v>8333.3000000000065</v>
      </c>
      <c r="P83" s="83">
        <f t="shared" si="46"/>
        <v>4000</v>
      </c>
      <c r="Q83" s="83"/>
      <c r="R83" s="85">
        <f t="shared" si="47"/>
        <v>41111.000000000007</v>
      </c>
      <c r="S83" s="99" t="s">
        <v>227</v>
      </c>
      <c r="T83" s="124">
        <f t="shared" si="41"/>
        <v>1</v>
      </c>
    </row>
    <row r="84" spans="1:20" ht="15.75" x14ac:dyDescent="0.2">
      <c r="A84" s="96" t="s">
        <v>138</v>
      </c>
      <c r="B84" s="167"/>
      <c r="C84" s="13" t="s">
        <v>157</v>
      </c>
      <c r="D84" s="33">
        <v>200925.2</v>
      </c>
      <c r="E84" s="15">
        <f t="shared" si="43"/>
        <v>71758.800000000047</v>
      </c>
      <c r="F84" s="15">
        <v>14352</v>
      </c>
      <c r="G84" s="20"/>
      <c r="H84" s="33">
        <f t="shared" si="44"/>
        <v>287036.00000000006</v>
      </c>
      <c r="I84" s="142"/>
      <c r="J84" s="146">
        <f t="shared" si="17"/>
        <v>5.0000696776710922E-2</v>
      </c>
      <c r="K84" s="43"/>
      <c r="L84" s="43">
        <v>200925.2</v>
      </c>
      <c r="M84" s="43">
        <v>14352</v>
      </c>
      <c r="N84" s="83">
        <f t="shared" si="48"/>
        <v>200925.2</v>
      </c>
      <c r="O84" s="83">
        <f t="shared" si="45"/>
        <v>71758.800000000047</v>
      </c>
      <c r="P84" s="83">
        <f t="shared" si="46"/>
        <v>14352</v>
      </c>
      <c r="Q84" s="83"/>
      <c r="R84" s="85">
        <f t="shared" si="47"/>
        <v>287036.00000000006</v>
      </c>
      <c r="S84" s="99" t="s">
        <v>227</v>
      </c>
      <c r="T84" s="124">
        <f t="shared" si="41"/>
        <v>1</v>
      </c>
    </row>
    <row r="85" spans="1:20" ht="15.75" x14ac:dyDescent="0.2">
      <c r="A85" s="96" t="s">
        <v>140</v>
      </c>
      <c r="B85" s="167"/>
      <c r="C85" s="13" t="s">
        <v>158</v>
      </c>
      <c r="D85" s="33">
        <v>81714.5</v>
      </c>
      <c r="E85" s="15">
        <f t="shared" si="43"/>
        <v>23347.000000000015</v>
      </c>
      <c r="F85" s="15">
        <v>11673.5</v>
      </c>
      <c r="G85" s="20"/>
      <c r="H85" s="33">
        <f t="shared" si="44"/>
        <v>116735.00000000001</v>
      </c>
      <c r="I85" s="142"/>
      <c r="J85" s="146">
        <f t="shared" si="17"/>
        <v>9.9999999999999992E-2</v>
      </c>
      <c r="K85" s="43"/>
      <c r="L85" s="43">
        <v>81714.5</v>
      </c>
      <c r="M85" s="43">
        <v>11673.5</v>
      </c>
      <c r="N85" s="83">
        <f t="shared" si="48"/>
        <v>81714.5</v>
      </c>
      <c r="O85" s="83">
        <f t="shared" si="45"/>
        <v>23347.000000000015</v>
      </c>
      <c r="P85" s="83">
        <f t="shared" si="46"/>
        <v>11673.5</v>
      </c>
      <c r="Q85" s="83"/>
      <c r="R85" s="85">
        <f t="shared" si="47"/>
        <v>116735.00000000001</v>
      </c>
      <c r="S85" s="99" t="s">
        <v>227</v>
      </c>
      <c r="T85" s="124">
        <f t="shared" si="41"/>
        <v>1</v>
      </c>
    </row>
    <row r="86" spans="1:20" ht="15.75" x14ac:dyDescent="0.2">
      <c r="A86" s="96" t="s">
        <v>141</v>
      </c>
      <c r="B86" s="167"/>
      <c r="C86" s="13" t="s">
        <v>159</v>
      </c>
      <c r="D86" s="33">
        <v>210000</v>
      </c>
      <c r="E86" s="15">
        <f t="shared" si="43"/>
        <v>75000</v>
      </c>
      <c r="F86" s="15">
        <v>15000</v>
      </c>
      <c r="G86" s="20"/>
      <c r="H86" s="33">
        <f t="shared" si="44"/>
        <v>300000</v>
      </c>
      <c r="I86" s="142"/>
      <c r="J86" s="146">
        <f t="shared" si="17"/>
        <v>0.05</v>
      </c>
      <c r="K86" s="43"/>
      <c r="L86" s="43">
        <v>210000</v>
      </c>
      <c r="M86" s="43">
        <v>15000</v>
      </c>
      <c r="N86" s="83">
        <f t="shared" si="48"/>
        <v>210000</v>
      </c>
      <c r="O86" s="83">
        <f t="shared" si="45"/>
        <v>75000</v>
      </c>
      <c r="P86" s="83">
        <f t="shared" si="46"/>
        <v>15000</v>
      </c>
      <c r="Q86" s="83"/>
      <c r="R86" s="85">
        <f>N86+O86+P86+Q86</f>
        <v>300000</v>
      </c>
      <c r="S86" s="99" t="s">
        <v>227</v>
      </c>
      <c r="T86" s="124">
        <f t="shared" si="41"/>
        <v>1</v>
      </c>
    </row>
    <row r="87" spans="1:20" ht="15" x14ac:dyDescent="0.2">
      <c r="A87" s="96" t="s">
        <v>142</v>
      </c>
      <c r="B87" s="167"/>
      <c r="C87" s="10" t="s">
        <v>160</v>
      </c>
      <c r="D87" s="40">
        <v>76169.8</v>
      </c>
      <c r="E87" s="12">
        <f t="shared" si="43"/>
        <v>21762.200000000012</v>
      </c>
      <c r="F87" s="24">
        <v>10882</v>
      </c>
      <c r="G87" s="12"/>
      <c r="H87" s="34">
        <f t="shared" si="44"/>
        <v>108814.00000000001</v>
      </c>
      <c r="I87" s="142"/>
      <c r="J87" s="146">
        <f t="shared" si="17"/>
        <v>0.10000551399636075</v>
      </c>
      <c r="K87" s="43">
        <f t="shared" ref="K87:K88" si="49">D87</f>
        <v>76169.8</v>
      </c>
      <c r="L87" s="43"/>
      <c r="M87" s="43">
        <v>10882</v>
      </c>
      <c r="N87" s="83">
        <f t="shared" si="48"/>
        <v>76169.8</v>
      </c>
      <c r="O87" s="83">
        <f t="shared" si="45"/>
        <v>21762.200000000012</v>
      </c>
      <c r="P87" s="83">
        <f t="shared" si="46"/>
        <v>10882</v>
      </c>
      <c r="Q87" s="83"/>
      <c r="R87" s="85">
        <f t="shared" ref="R87:R95" si="50">N87+O87+P87+Q87</f>
        <v>108814.00000000001</v>
      </c>
      <c r="S87" s="99" t="s">
        <v>227</v>
      </c>
      <c r="T87" s="124">
        <f t="shared" si="41"/>
        <v>1</v>
      </c>
    </row>
    <row r="88" spans="1:20" ht="15" x14ac:dyDescent="0.2">
      <c r="A88" s="96" t="s">
        <v>143</v>
      </c>
      <c r="B88" s="167"/>
      <c r="C88" s="10" t="s">
        <v>161</v>
      </c>
      <c r="D88" s="40">
        <v>43542.8</v>
      </c>
      <c r="E88" s="12">
        <f t="shared" si="43"/>
        <v>12440.800000000005</v>
      </c>
      <c r="F88" s="24">
        <v>6220.4</v>
      </c>
      <c r="G88" s="12"/>
      <c r="H88" s="34">
        <f t="shared" si="44"/>
        <v>62204.000000000007</v>
      </c>
      <c r="I88" s="142"/>
      <c r="J88" s="146">
        <f t="shared" si="17"/>
        <v>9.9999999999999978E-2</v>
      </c>
      <c r="K88" s="43">
        <f t="shared" si="49"/>
        <v>43542.8</v>
      </c>
      <c r="L88" s="43"/>
      <c r="M88" s="43">
        <v>6220.4</v>
      </c>
      <c r="N88" s="83">
        <f t="shared" si="48"/>
        <v>43542.8</v>
      </c>
      <c r="O88" s="83">
        <f t="shared" si="45"/>
        <v>12440.800000000005</v>
      </c>
      <c r="P88" s="83">
        <f t="shared" si="46"/>
        <v>6220.4</v>
      </c>
      <c r="Q88" s="83"/>
      <c r="R88" s="85">
        <f t="shared" si="50"/>
        <v>62204.000000000007</v>
      </c>
      <c r="S88" s="99" t="s">
        <v>227</v>
      </c>
      <c r="T88" s="124">
        <f t="shared" si="41"/>
        <v>1</v>
      </c>
    </row>
    <row r="89" spans="1:20" s="6" customFormat="1" ht="15.75" x14ac:dyDescent="0.2">
      <c r="A89" s="96" t="s">
        <v>144</v>
      </c>
      <c r="B89" s="167"/>
      <c r="C89" s="13" t="s">
        <v>162</v>
      </c>
      <c r="D89" s="33">
        <v>100060.8</v>
      </c>
      <c r="E89" s="15">
        <v>35183.199999999997</v>
      </c>
      <c r="F89" s="15">
        <v>7700</v>
      </c>
      <c r="G89" s="20"/>
      <c r="H89" s="33">
        <f t="shared" si="44"/>
        <v>142944</v>
      </c>
      <c r="I89" s="142"/>
      <c r="J89" s="146">
        <f t="shared" si="17"/>
        <v>5.3867248712782631E-2</v>
      </c>
      <c r="K89" s="43"/>
      <c r="L89" s="43">
        <v>100060.8</v>
      </c>
      <c r="M89" s="43">
        <v>7200</v>
      </c>
      <c r="N89" s="83">
        <f t="shared" si="48"/>
        <v>100060.8</v>
      </c>
      <c r="O89" s="83">
        <f t="shared" si="45"/>
        <v>35183.199999999997</v>
      </c>
      <c r="P89" s="83">
        <f t="shared" si="46"/>
        <v>7700</v>
      </c>
      <c r="Q89" s="83"/>
      <c r="R89" s="85">
        <f t="shared" si="50"/>
        <v>142944</v>
      </c>
      <c r="S89" s="99" t="s">
        <v>227</v>
      </c>
      <c r="T89" s="124">
        <f t="shared" si="41"/>
        <v>1</v>
      </c>
    </row>
    <row r="90" spans="1:20" ht="27" customHeight="1" x14ac:dyDescent="0.2">
      <c r="A90" s="96" t="s">
        <v>145</v>
      </c>
      <c r="B90" s="167"/>
      <c r="C90" s="13" t="s">
        <v>163</v>
      </c>
      <c r="D90" s="33">
        <v>181893.6</v>
      </c>
      <c r="E90" s="15">
        <f t="shared" si="43"/>
        <v>51954.400000000023</v>
      </c>
      <c r="F90" s="15">
        <v>26000</v>
      </c>
      <c r="G90" s="20"/>
      <c r="H90" s="33">
        <f t="shared" si="44"/>
        <v>259848.00000000003</v>
      </c>
      <c r="I90" s="142"/>
      <c r="J90" s="146">
        <f t="shared" si="17"/>
        <v>0.10005849573596871</v>
      </c>
      <c r="K90" s="43"/>
      <c r="L90" s="43">
        <v>181893.6</v>
      </c>
      <c r="M90" s="43">
        <v>26000</v>
      </c>
      <c r="N90" s="83">
        <f t="shared" si="48"/>
        <v>181893.6</v>
      </c>
      <c r="O90" s="83">
        <f t="shared" si="45"/>
        <v>51954.400000000023</v>
      </c>
      <c r="P90" s="83">
        <f t="shared" si="46"/>
        <v>26000</v>
      </c>
      <c r="Q90" s="83"/>
      <c r="R90" s="85">
        <f t="shared" si="50"/>
        <v>259848.00000000003</v>
      </c>
      <c r="S90" s="99" t="s">
        <v>227</v>
      </c>
      <c r="T90" s="124">
        <f t="shared" si="41"/>
        <v>1</v>
      </c>
    </row>
    <row r="91" spans="1:20" ht="15.75" x14ac:dyDescent="0.2">
      <c r="A91" s="96" t="s">
        <v>146</v>
      </c>
      <c r="B91" s="167"/>
      <c r="C91" s="13" t="s">
        <v>164</v>
      </c>
      <c r="D91" s="33">
        <v>205093</v>
      </c>
      <c r="E91" s="15">
        <f t="shared" si="43"/>
        <v>67897</v>
      </c>
      <c r="F91" s="15">
        <v>20000</v>
      </c>
      <c r="G91" s="20"/>
      <c r="H91" s="33">
        <f t="shared" si="44"/>
        <v>292990</v>
      </c>
      <c r="I91" s="142"/>
      <c r="J91" s="146">
        <f t="shared" si="17"/>
        <v>6.8261715416908425E-2</v>
      </c>
      <c r="K91" s="43"/>
      <c r="L91" s="43">
        <v>205093</v>
      </c>
      <c r="M91" s="43">
        <v>20000</v>
      </c>
      <c r="N91" s="83">
        <f t="shared" si="48"/>
        <v>205093</v>
      </c>
      <c r="O91" s="83">
        <f t="shared" si="45"/>
        <v>67897</v>
      </c>
      <c r="P91" s="83">
        <f t="shared" si="46"/>
        <v>20000</v>
      </c>
      <c r="Q91" s="83"/>
      <c r="R91" s="85">
        <f t="shared" si="50"/>
        <v>292990</v>
      </c>
      <c r="S91" s="99" t="s">
        <v>227</v>
      </c>
      <c r="T91" s="124">
        <f t="shared" si="41"/>
        <v>1</v>
      </c>
    </row>
    <row r="92" spans="1:20" ht="15" x14ac:dyDescent="0.2">
      <c r="A92" s="96" t="s">
        <v>147</v>
      </c>
      <c r="B92" s="167"/>
      <c r="C92" s="10" t="s">
        <v>165</v>
      </c>
      <c r="D92" s="40">
        <v>326620</v>
      </c>
      <c r="E92" s="12">
        <f t="shared" si="43"/>
        <v>93320.000000000058</v>
      </c>
      <c r="F92" s="24">
        <v>46660</v>
      </c>
      <c r="G92" s="12"/>
      <c r="H92" s="34">
        <f t="shared" si="44"/>
        <v>466600.00000000006</v>
      </c>
      <c r="I92" s="142"/>
      <c r="J92" s="146">
        <f t="shared" si="17"/>
        <v>9.9999999999999992E-2</v>
      </c>
      <c r="K92" s="43">
        <f t="shared" ref="K92:K93" si="51">D92</f>
        <v>326620</v>
      </c>
      <c r="L92" s="43"/>
      <c r="M92" s="43">
        <v>46660</v>
      </c>
      <c r="N92" s="83">
        <f t="shared" si="48"/>
        <v>326620</v>
      </c>
      <c r="O92" s="83">
        <f t="shared" si="45"/>
        <v>93320.000000000058</v>
      </c>
      <c r="P92" s="83">
        <f t="shared" si="46"/>
        <v>46660</v>
      </c>
      <c r="Q92" s="83"/>
      <c r="R92" s="85">
        <f t="shared" si="50"/>
        <v>466600.00000000006</v>
      </c>
      <c r="S92" s="99" t="s">
        <v>227</v>
      </c>
      <c r="T92" s="124">
        <f t="shared" si="41"/>
        <v>1</v>
      </c>
    </row>
    <row r="93" spans="1:20" ht="15" x14ac:dyDescent="0.2">
      <c r="A93" s="96" t="s">
        <v>148</v>
      </c>
      <c r="B93" s="167"/>
      <c r="C93" s="10" t="s">
        <v>166</v>
      </c>
      <c r="D93" s="40">
        <v>135800</v>
      </c>
      <c r="E93" s="12">
        <f t="shared" si="43"/>
        <v>39200</v>
      </c>
      <c r="F93" s="24">
        <v>19000</v>
      </c>
      <c r="G93" s="12"/>
      <c r="H93" s="34">
        <f t="shared" si="44"/>
        <v>194000</v>
      </c>
      <c r="I93" s="142"/>
      <c r="J93" s="146">
        <f t="shared" si="17"/>
        <v>9.7938144329896906E-2</v>
      </c>
      <c r="K93" s="43">
        <f t="shared" si="51"/>
        <v>135800</v>
      </c>
      <c r="L93" s="43"/>
      <c r="M93" s="43">
        <v>19000</v>
      </c>
      <c r="N93" s="83">
        <f t="shared" si="48"/>
        <v>135800</v>
      </c>
      <c r="O93" s="83">
        <f t="shared" si="45"/>
        <v>39200</v>
      </c>
      <c r="P93" s="83">
        <f t="shared" si="46"/>
        <v>19000</v>
      </c>
      <c r="Q93" s="83"/>
      <c r="R93" s="85">
        <f t="shared" si="50"/>
        <v>194000</v>
      </c>
      <c r="S93" s="99" t="s">
        <v>227</v>
      </c>
      <c r="T93" s="124">
        <f t="shared" si="41"/>
        <v>1</v>
      </c>
    </row>
    <row r="94" spans="1:20" ht="15.75" x14ac:dyDescent="0.2">
      <c r="A94" s="96" t="s">
        <v>149</v>
      </c>
      <c r="B94" s="167"/>
      <c r="C94" s="13" t="s">
        <v>167</v>
      </c>
      <c r="D94" s="33">
        <v>70000</v>
      </c>
      <c r="E94" s="15">
        <f t="shared" si="43"/>
        <v>23000</v>
      </c>
      <c r="F94" s="15">
        <v>7000</v>
      </c>
      <c r="G94" s="20"/>
      <c r="H94" s="33">
        <f t="shared" si="44"/>
        <v>100000</v>
      </c>
      <c r="I94" s="142"/>
      <c r="J94" s="146">
        <f t="shared" si="17"/>
        <v>7.0000000000000007E-2</v>
      </c>
      <c r="K94" s="43"/>
      <c r="L94" s="43">
        <v>70000</v>
      </c>
      <c r="M94" s="43">
        <v>7000</v>
      </c>
      <c r="N94" s="83">
        <f t="shared" si="48"/>
        <v>70000</v>
      </c>
      <c r="O94" s="83">
        <f t="shared" si="45"/>
        <v>23000</v>
      </c>
      <c r="P94" s="83">
        <f t="shared" si="46"/>
        <v>7000</v>
      </c>
      <c r="Q94" s="83"/>
      <c r="R94" s="85">
        <f t="shared" si="50"/>
        <v>100000</v>
      </c>
      <c r="S94" s="99" t="s">
        <v>227</v>
      </c>
      <c r="T94" s="124">
        <f t="shared" si="41"/>
        <v>1</v>
      </c>
    </row>
    <row r="95" spans="1:20" ht="15.75" x14ac:dyDescent="0.2">
      <c r="A95" s="96" t="s">
        <v>150</v>
      </c>
      <c r="B95" s="167"/>
      <c r="C95" s="13" t="s">
        <v>139</v>
      </c>
      <c r="D95" s="33">
        <v>109669</v>
      </c>
      <c r="E95" s="15">
        <f t="shared" si="43"/>
        <v>37501</v>
      </c>
      <c r="F95" s="15">
        <v>9500</v>
      </c>
      <c r="G95" s="20"/>
      <c r="H95" s="33">
        <f t="shared" si="44"/>
        <v>156670</v>
      </c>
      <c r="I95" s="142"/>
      <c r="J95" s="146">
        <f t="shared" si="17"/>
        <v>6.0637007723239933E-2</v>
      </c>
      <c r="K95" s="43"/>
      <c r="L95" s="43">
        <v>109669</v>
      </c>
      <c r="M95" s="43">
        <v>9500</v>
      </c>
      <c r="N95" s="83">
        <f t="shared" si="48"/>
        <v>109669</v>
      </c>
      <c r="O95" s="83">
        <f t="shared" si="45"/>
        <v>37501</v>
      </c>
      <c r="P95" s="83">
        <f t="shared" si="46"/>
        <v>9500</v>
      </c>
      <c r="Q95" s="83"/>
      <c r="R95" s="85">
        <f t="shared" si="50"/>
        <v>156670</v>
      </c>
      <c r="S95" s="99" t="s">
        <v>227</v>
      </c>
      <c r="T95" s="124">
        <f t="shared" si="41"/>
        <v>1</v>
      </c>
    </row>
    <row r="96" spans="1:20" ht="63.75" x14ac:dyDescent="0.2">
      <c r="A96" s="143"/>
      <c r="B96" s="168"/>
      <c r="C96" s="144"/>
      <c r="D96" s="33"/>
      <c r="E96" s="15"/>
      <c r="F96" s="15"/>
      <c r="G96" s="20"/>
      <c r="H96" s="33"/>
      <c r="I96" s="142"/>
      <c r="J96" s="146"/>
      <c r="K96" s="43"/>
      <c r="L96" s="43"/>
      <c r="M96" s="145" t="s">
        <v>231</v>
      </c>
      <c r="N96" s="83"/>
      <c r="O96" s="83"/>
      <c r="P96" s="83"/>
      <c r="Q96" s="83"/>
      <c r="R96" s="85"/>
      <c r="S96" s="99"/>
      <c r="T96" s="124"/>
    </row>
    <row r="97" spans="1:20" s="108" customFormat="1" ht="15.75" x14ac:dyDescent="0.25">
      <c r="A97" s="157" t="s">
        <v>178</v>
      </c>
      <c r="B97" s="158"/>
      <c r="C97" s="159"/>
      <c r="D97" s="100">
        <f>SUM(D80:D95)</f>
        <v>1985552.8000000003</v>
      </c>
      <c r="E97" s="100">
        <f>SUM(E80:E95)</f>
        <v>628505.10000000009</v>
      </c>
      <c r="F97" s="100">
        <f>SUM(F80:F95)</f>
        <v>222446.09999999998</v>
      </c>
      <c r="G97" s="100">
        <f>SUM(G80:G95)</f>
        <v>0</v>
      </c>
      <c r="H97" s="100">
        <f>SUM(H80:H95)</f>
        <v>2836504</v>
      </c>
      <c r="I97" s="101"/>
      <c r="J97" s="146">
        <f t="shared" si="17"/>
        <v>7.8422628700682229E-2</v>
      </c>
      <c r="K97" s="102">
        <f>K80+K83+K87+K88+K92+K93</f>
        <v>722617.7</v>
      </c>
      <c r="L97" s="103">
        <f>L81+L82+L84+L85+L86+L89+L90+L91+L94+L95</f>
        <v>1262935.1000000001</v>
      </c>
      <c r="M97" s="104">
        <f>SUM(M80:M95)</f>
        <v>221946.09999999998</v>
      </c>
      <c r="N97" s="105">
        <f>SUM(N80:N95)</f>
        <v>1985552.8000000003</v>
      </c>
      <c r="O97" s="105">
        <f t="shared" ref="O97:Q97" si="52">SUM(O80:O95)</f>
        <v>628505.10000000009</v>
      </c>
      <c r="P97" s="105">
        <f t="shared" si="52"/>
        <v>222446.09999999998</v>
      </c>
      <c r="Q97" s="105">
        <f t="shared" si="52"/>
        <v>0</v>
      </c>
      <c r="R97" s="106">
        <f>N97+O97+P97+Q97</f>
        <v>2836504.0000000005</v>
      </c>
      <c r="S97" s="107"/>
      <c r="T97" s="125">
        <f t="shared" si="41"/>
        <v>1.0000000000000002</v>
      </c>
    </row>
    <row r="98" spans="1:20" ht="25.5" x14ac:dyDescent="0.2">
      <c r="A98" s="96" t="s">
        <v>151</v>
      </c>
      <c r="B98" s="154" t="s">
        <v>15</v>
      </c>
      <c r="C98" s="10" t="s">
        <v>168</v>
      </c>
      <c r="D98" s="38">
        <v>84000</v>
      </c>
      <c r="E98" s="12">
        <f>H98-D98-F98-G98</f>
        <v>24000.000000000015</v>
      </c>
      <c r="F98" s="12">
        <v>12000</v>
      </c>
      <c r="G98" s="12"/>
      <c r="H98" s="34">
        <f>D98/0.7</f>
        <v>120000.00000000001</v>
      </c>
      <c r="I98" s="142"/>
      <c r="J98" s="146">
        <f t="shared" si="17"/>
        <v>0.1</v>
      </c>
      <c r="K98" s="41">
        <f t="shared" ref="K98:K100" si="53">D98</f>
        <v>84000</v>
      </c>
      <c r="L98" s="41"/>
      <c r="M98" s="41">
        <v>12000</v>
      </c>
      <c r="N98" s="83">
        <v>84000</v>
      </c>
      <c r="O98" s="83">
        <v>24000</v>
      </c>
      <c r="P98" s="83">
        <v>12000</v>
      </c>
      <c r="Q98" s="83"/>
      <c r="R98" s="85">
        <f t="shared" ref="R98:R100" si="54">N98+O98+P98+Q98</f>
        <v>120000</v>
      </c>
      <c r="S98" s="99" t="s">
        <v>227</v>
      </c>
      <c r="T98" s="124">
        <f t="shared" si="41"/>
        <v>0.99999999999999989</v>
      </c>
    </row>
    <row r="99" spans="1:20" ht="25.5" x14ac:dyDescent="0.2">
      <c r="A99" s="96" t="s">
        <v>152</v>
      </c>
      <c r="B99" s="155"/>
      <c r="C99" s="10" t="s">
        <v>169</v>
      </c>
      <c r="D99" s="38">
        <v>105000</v>
      </c>
      <c r="E99" s="12">
        <f>H99-D99-F99-G99</f>
        <v>15000</v>
      </c>
      <c r="F99" s="12">
        <v>30000</v>
      </c>
      <c r="G99" s="12"/>
      <c r="H99" s="34">
        <f>D99/0.7</f>
        <v>150000</v>
      </c>
      <c r="I99" s="142"/>
      <c r="J99" s="146">
        <f t="shared" si="17"/>
        <v>0.2</v>
      </c>
      <c r="K99" s="43">
        <f t="shared" si="53"/>
        <v>105000</v>
      </c>
      <c r="L99" s="43"/>
      <c r="M99" s="43">
        <v>30000</v>
      </c>
      <c r="N99" s="83">
        <v>105000</v>
      </c>
      <c r="O99" s="83">
        <v>15000</v>
      </c>
      <c r="P99" s="83">
        <v>30000</v>
      </c>
      <c r="Q99" s="83"/>
      <c r="R99" s="85">
        <f t="shared" si="54"/>
        <v>150000</v>
      </c>
      <c r="S99" s="99" t="s">
        <v>227</v>
      </c>
      <c r="T99" s="124">
        <f t="shared" si="41"/>
        <v>1</v>
      </c>
    </row>
    <row r="100" spans="1:20" ht="15" x14ac:dyDescent="0.2">
      <c r="A100" s="97" t="s">
        <v>153</v>
      </c>
      <c r="B100" s="156"/>
      <c r="C100" s="10" t="s">
        <v>170</v>
      </c>
      <c r="D100" s="38">
        <v>280000</v>
      </c>
      <c r="E100" s="12">
        <f>H100-D100-F100-G100</f>
        <v>80000</v>
      </c>
      <c r="F100" s="25">
        <v>40000</v>
      </c>
      <c r="G100" s="25"/>
      <c r="H100" s="34">
        <f>D100/0.7</f>
        <v>400000</v>
      </c>
      <c r="I100" s="142"/>
      <c r="J100" s="146">
        <f t="shared" ref="J100:J109" si="55">P100/R100</f>
        <v>0.1</v>
      </c>
      <c r="K100" s="43">
        <f t="shared" si="53"/>
        <v>280000</v>
      </c>
      <c r="L100" s="43"/>
      <c r="M100" s="43">
        <v>40000</v>
      </c>
      <c r="N100" s="83">
        <v>280000</v>
      </c>
      <c r="O100" s="83">
        <v>80000</v>
      </c>
      <c r="P100" s="83">
        <v>40000</v>
      </c>
      <c r="Q100" s="83"/>
      <c r="R100" s="85">
        <f t="shared" si="54"/>
        <v>400000</v>
      </c>
      <c r="S100" s="99" t="s">
        <v>227</v>
      </c>
      <c r="T100" s="124">
        <f t="shared" si="41"/>
        <v>1</v>
      </c>
    </row>
    <row r="101" spans="1:20" s="108" customFormat="1" ht="15.75" x14ac:dyDescent="0.25">
      <c r="A101" s="157" t="s">
        <v>181</v>
      </c>
      <c r="B101" s="158"/>
      <c r="C101" s="159"/>
      <c r="D101" s="100">
        <f>SUM(D98:D100)</f>
        <v>469000</v>
      </c>
      <c r="E101" s="100">
        <f>SUM(E98:E100)</f>
        <v>119000.00000000001</v>
      </c>
      <c r="F101" s="100">
        <f>SUM(F98:F100)</f>
        <v>82000</v>
      </c>
      <c r="G101" s="100">
        <f>SUM(G98:G100)</f>
        <v>0</v>
      </c>
      <c r="H101" s="100">
        <f>SUM(H98:H100)</f>
        <v>670000</v>
      </c>
      <c r="I101" s="101"/>
      <c r="J101" s="146">
        <f t="shared" si="55"/>
        <v>0.12238805970149254</v>
      </c>
      <c r="K101" s="102">
        <f>SUM(K98:K100)</f>
        <v>469000</v>
      </c>
      <c r="L101" s="103">
        <v>0</v>
      </c>
      <c r="M101" s="104">
        <f>SUM(M98:M100)</f>
        <v>82000</v>
      </c>
      <c r="N101" s="105">
        <f>SUM(N98:N100)</f>
        <v>469000</v>
      </c>
      <c r="O101" s="105">
        <f t="shared" ref="O101:Q101" si="56">SUM(O98:O100)</f>
        <v>119000</v>
      </c>
      <c r="P101" s="105">
        <f t="shared" si="56"/>
        <v>82000</v>
      </c>
      <c r="Q101" s="105">
        <f t="shared" si="56"/>
        <v>0</v>
      </c>
      <c r="R101" s="106">
        <f>N101+O101+P101+Q101</f>
        <v>670000</v>
      </c>
      <c r="S101" s="107"/>
      <c r="T101" s="125">
        <f t="shared" si="41"/>
        <v>1</v>
      </c>
    </row>
    <row r="102" spans="1:20" ht="15.75" x14ac:dyDescent="0.2">
      <c r="A102" s="96" t="s">
        <v>171</v>
      </c>
      <c r="B102" s="163" t="s">
        <v>175</v>
      </c>
      <c r="C102" s="13" t="s">
        <v>21</v>
      </c>
      <c r="D102" s="33">
        <v>204091.3</v>
      </c>
      <c r="E102" s="15">
        <f>H102-D102-F102-G102</f>
        <v>67058.700000000012</v>
      </c>
      <c r="F102" s="15">
        <v>14578</v>
      </c>
      <c r="G102" s="20">
        <v>5831</v>
      </c>
      <c r="H102" s="33">
        <f>D102/0.7</f>
        <v>291559</v>
      </c>
      <c r="I102" s="142"/>
      <c r="J102" s="146">
        <f t="shared" si="55"/>
        <v>5.0000171491876431E-2</v>
      </c>
      <c r="K102" s="43"/>
      <c r="L102" s="43">
        <v>204091.3</v>
      </c>
      <c r="M102" s="43">
        <v>20409</v>
      </c>
      <c r="N102" s="83">
        <f>D102</f>
        <v>204091.3</v>
      </c>
      <c r="O102" s="83">
        <f t="shared" ref="O102:Q102" si="57">E102</f>
        <v>67058.700000000012</v>
      </c>
      <c r="P102" s="83">
        <f t="shared" si="57"/>
        <v>14578</v>
      </c>
      <c r="Q102" s="83">
        <f t="shared" si="57"/>
        <v>5831</v>
      </c>
      <c r="R102" s="85">
        <f t="shared" ref="R102:R104" si="58">N102+O102+P102+Q102</f>
        <v>291559</v>
      </c>
      <c r="S102" s="99" t="s">
        <v>227</v>
      </c>
      <c r="T102" s="124">
        <f t="shared" si="41"/>
        <v>1</v>
      </c>
    </row>
    <row r="103" spans="1:20" x14ac:dyDescent="0.2">
      <c r="A103" s="113" t="s">
        <v>172</v>
      </c>
      <c r="B103" s="164"/>
      <c r="C103" s="10" t="s">
        <v>22</v>
      </c>
      <c r="D103" s="34">
        <v>210000</v>
      </c>
      <c r="E103" s="12">
        <f>H103-D103-F103-G103</f>
        <v>45000</v>
      </c>
      <c r="F103" s="11">
        <v>30000</v>
      </c>
      <c r="G103" s="11">
        <v>15000</v>
      </c>
      <c r="H103" s="34">
        <f>D103/0.7</f>
        <v>300000</v>
      </c>
      <c r="I103" s="142"/>
      <c r="J103" s="146">
        <f t="shared" si="55"/>
        <v>0.1</v>
      </c>
      <c r="K103" s="43">
        <f>D103</f>
        <v>210000</v>
      </c>
      <c r="L103" s="43"/>
      <c r="M103" s="43">
        <f>45000</f>
        <v>45000</v>
      </c>
      <c r="N103" s="83">
        <f t="shared" ref="N103:N104" si="59">D103</f>
        <v>210000</v>
      </c>
      <c r="O103" s="83">
        <f t="shared" ref="O103:O104" si="60">E103</f>
        <v>45000</v>
      </c>
      <c r="P103" s="83">
        <f t="shared" ref="P103:P104" si="61">F103</f>
        <v>30000</v>
      </c>
      <c r="Q103" s="83">
        <f t="shared" ref="Q103:Q104" si="62">G103</f>
        <v>15000</v>
      </c>
      <c r="R103" s="85">
        <f t="shared" si="58"/>
        <v>300000</v>
      </c>
      <c r="S103" s="99" t="s">
        <v>227</v>
      </c>
      <c r="T103" s="124">
        <f t="shared" si="41"/>
        <v>1</v>
      </c>
    </row>
    <row r="104" spans="1:20" ht="15.75" x14ac:dyDescent="0.2">
      <c r="A104" s="113" t="s">
        <v>173</v>
      </c>
      <c r="B104" s="165"/>
      <c r="C104" s="10" t="s">
        <v>23</v>
      </c>
      <c r="D104" s="33">
        <v>210000</v>
      </c>
      <c r="E104" s="15">
        <f>H104-D104-F104-G104</f>
        <v>75000</v>
      </c>
      <c r="F104" s="15">
        <v>15000</v>
      </c>
      <c r="G104" s="20"/>
      <c r="H104" s="33">
        <f>D104/0.7</f>
        <v>300000</v>
      </c>
      <c r="I104" s="142"/>
      <c r="J104" s="146">
        <f t="shared" si="55"/>
        <v>0.05</v>
      </c>
      <c r="K104" s="43"/>
      <c r="L104" s="43">
        <v>210000</v>
      </c>
      <c r="M104" s="43">
        <v>15000</v>
      </c>
      <c r="N104" s="83">
        <f t="shared" si="59"/>
        <v>210000</v>
      </c>
      <c r="O104" s="83">
        <f t="shared" si="60"/>
        <v>75000</v>
      </c>
      <c r="P104" s="83">
        <f t="shared" si="61"/>
        <v>15000</v>
      </c>
      <c r="Q104" s="83">
        <f t="shared" si="62"/>
        <v>0</v>
      </c>
      <c r="R104" s="85">
        <f t="shared" si="58"/>
        <v>300000</v>
      </c>
      <c r="S104" s="99" t="s">
        <v>227</v>
      </c>
      <c r="T104" s="124">
        <f t="shared" si="41"/>
        <v>1</v>
      </c>
    </row>
    <row r="105" spans="1:20" s="108" customFormat="1" ht="15.75" x14ac:dyDescent="0.25">
      <c r="A105" s="160" t="s">
        <v>176</v>
      </c>
      <c r="B105" s="161"/>
      <c r="C105" s="162"/>
      <c r="D105" s="100">
        <f>SUM(D102:D104)</f>
        <v>624091.30000000005</v>
      </c>
      <c r="E105" s="100">
        <f>SUM(E102:E104)</f>
        <v>187058.7</v>
      </c>
      <c r="F105" s="100">
        <f>SUM(F102:F104)</f>
        <v>59578</v>
      </c>
      <c r="G105" s="100">
        <f>SUM(G102:G104)</f>
        <v>20831</v>
      </c>
      <c r="H105" s="100">
        <f>SUM(H102:H104)</f>
        <v>891559</v>
      </c>
      <c r="I105" s="101"/>
      <c r="J105" s="146">
        <f t="shared" si="55"/>
        <v>6.6824517502487218E-2</v>
      </c>
      <c r="K105" s="102">
        <f>K103</f>
        <v>210000</v>
      </c>
      <c r="L105" s="103">
        <f>L102+L104</f>
        <v>414091.3</v>
      </c>
      <c r="M105" s="104">
        <f>SUM(M102:M104)</f>
        <v>80409</v>
      </c>
      <c r="N105" s="105">
        <f>SUM(N102:N104)</f>
        <v>624091.30000000005</v>
      </c>
      <c r="O105" s="105">
        <f t="shared" ref="O105:Q105" si="63">SUM(O102:O104)</f>
        <v>187058.7</v>
      </c>
      <c r="P105" s="105">
        <f t="shared" si="63"/>
        <v>59578</v>
      </c>
      <c r="Q105" s="105">
        <f t="shared" si="63"/>
        <v>20831</v>
      </c>
      <c r="R105" s="106">
        <f>N105+O105+P105+Q105</f>
        <v>891559</v>
      </c>
      <c r="S105" s="107"/>
      <c r="T105" s="125">
        <f t="shared" si="41"/>
        <v>1</v>
      </c>
    </row>
    <row r="106" spans="1:20" s="2" customFormat="1" ht="25.5" x14ac:dyDescent="0.2">
      <c r="A106" s="141" t="s">
        <v>183</v>
      </c>
      <c r="B106" s="147" t="s">
        <v>187</v>
      </c>
      <c r="C106" s="13" t="s">
        <v>184</v>
      </c>
      <c r="D106" s="37">
        <v>87437.83</v>
      </c>
      <c r="E106" s="15">
        <v>31000</v>
      </c>
      <c r="F106" s="26">
        <v>6500</v>
      </c>
      <c r="G106" s="20"/>
      <c r="H106" s="33">
        <f>D106+E106+F106</f>
        <v>124937.83</v>
      </c>
      <c r="I106" s="142"/>
      <c r="J106" s="146">
        <f t="shared" si="55"/>
        <v>5.2037300336881476E-2</v>
      </c>
      <c r="K106" s="41"/>
      <c r="L106" s="41">
        <v>87437.83</v>
      </c>
      <c r="M106" s="41">
        <v>6500</v>
      </c>
      <c r="N106" s="92">
        <v>87437.28</v>
      </c>
      <c r="O106" s="92">
        <v>30973.119999999999</v>
      </c>
      <c r="P106" s="92">
        <v>6500</v>
      </c>
      <c r="Q106" s="92"/>
      <c r="R106" s="85">
        <f t="shared" ref="R106:R107" si="64">N106+O106+P106+Q106</f>
        <v>124910.39999999999</v>
      </c>
      <c r="S106" s="99" t="s">
        <v>227</v>
      </c>
      <c r="T106" s="124">
        <f t="shared" si="41"/>
        <v>0.99978045080501232</v>
      </c>
    </row>
    <row r="107" spans="1:20" s="2" customFormat="1" ht="25.5" x14ac:dyDescent="0.2">
      <c r="A107" s="141">
        <v>84</v>
      </c>
      <c r="B107" s="148"/>
      <c r="C107" s="27" t="s">
        <v>185</v>
      </c>
      <c r="D107" s="38">
        <v>87437.83</v>
      </c>
      <c r="E107" s="21">
        <v>25000</v>
      </c>
      <c r="F107" s="28">
        <v>12500</v>
      </c>
      <c r="G107" s="28"/>
      <c r="H107" s="33">
        <f>D107+E107+F107</f>
        <v>124937.83</v>
      </c>
      <c r="I107" s="142"/>
      <c r="J107" s="146">
        <f t="shared" si="55"/>
        <v>0.10000064045908108</v>
      </c>
      <c r="K107" s="41">
        <f>D107</f>
        <v>87437.83</v>
      </c>
      <c r="L107" s="41"/>
      <c r="M107" s="41">
        <v>12491.12</v>
      </c>
      <c r="N107" s="92">
        <v>87437.28</v>
      </c>
      <c r="O107" s="92">
        <v>24982</v>
      </c>
      <c r="P107" s="92">
        <v>12491.12</v>
      </c>
      <c r="Q107" s="92"/>
      <c r="R107" s="85">
        <f t="shared" si="64"/>
        <v>124910.39999999999</v>
      </c>
      <c r="S107" s="99" t="s">
        <v>227</v>
      </c>
      <c r="T107" s="124">
        <f t="shared" si="41"/>
        <v>0.99978045080501232</v>
      </c>
    </row>
    <row r="108" spans="1:20" s="108" customFormat="1" ht="15.75" x14ac:dyDescent="0.25">
      <c r="A108" s="114" t="s">
        <v>186</v>
      </c>
      <c r="B108" s="114"/>
      <c r="C108" s="116"/>
      <c r="D108" s="115">
        <f>SUM(D106:D107)</f>
        <v>174875.66</v>
      </c>
      <c r="E108" s="115">
        <f>SUM(E106:E107)</f>
        <v>56000</v>
      </c>
      <c r="F108" s="115">
        <f>SUM(F106:F107)</f>
        <v>19000</v>
      </c>
      <c r="G108" s="115">
        <f>SUM(G106:G107)</f>
        <v>0</v>
      </c>
      <c r="H108" s="115">
        <f>SUM(H106:H107)</f>
        <v>249875.66</v>
      </c>
      <c r="I108" s="101"/>
      <c r="J108" s="146">
        <f t="shared" si="55"/>
        <v>7.6018970397981292E-2</v>
      </c>
      <c r="K108" s="102">
        <f>K107</f>
        <v>87437.83</v>
      </c>
      <c r="L108" s="103">
        <f>L106</f>
        <v>87437.83</v>
      </c>
      <c r="M108" s="104">
        <f>M106+M107</f>
        <v>18991.120000000003</v>
      </c>
      <c r="N108" s="105">
        <f>SUM(N106:N107)</f>
        <v>174874.56</v>
      </c>
      <c r="O108" s="105">
        <f t="shared" ref="O108:Q108" si="65">SUM(O106:O107)</f>
        <v>55955.119999999995</v>
      </c>
      <c r="P108" s="105">
        <f t="shared" si="65"/>
        <v>18991.120000000003</v>
      </c>
      <c r="Q108" s="105">
        <f t="shared" si="65"/>
        <v>0</v>
      </c>
      <c r="R108" s="106">
        <f>N108+O108+P108+Q108</f>
        <v>249820.79999999999</v>
      </c>
      <c r="S108" s="107"/>
      <c r="T108" s="125">
        <f t="shared" si="41"/>
        <v>0.99978045080501232</v>
      </c>
    </row>
    <row r="109" spans="1:20" s="3" customFormat="1" ht="18" x14ac:dyDescent="0.25">
      <c r="A109" s="184" t="s">
        <v>200</v>
      </c>
      <c r="B109" s="185"/>
      <c r="C109" s="186"/>
      <c r="D109" s="32">
        <f>D108+D105+D101+D97+D79+D73+D71+D61+D34+D31+D26+D22+D14</f>
        <v>11642091.940000001</v>
      </c>
      <c r="E109" s="32">
        <f>E108+E105+E101+E97+E79+E73+E71+E61+E34+E31+E26+E22+E14</f>
        <v>3256839.6585714291</v>
      </c>
      <c r="F109" s="32">
        <f>F108+F105+F101+F97+F79+F73+F71+F61+F34+F31+F26+F22+F14</f>
        <v>1653740.61</v>
      </c>
      <c r="G109" s="32">
        <f>G108+G105+G101+G97+G79+G73+G71+G61+G34+G31+G26+G22+G14</f>
        <v>143456</v>
      </c>
      <c r="H109" s="32">
        <f>H108+H105+H101+H97+H79+H73+H71+H61+H34+H31+H26+H22+H14</f>
        <v>16696128.208571428</v>
      </c>
      <c r="I109" s="117"/>
      <c r="J109" s="146">
        <f t="shared" si="55"/>
        <v>0.10104401850835762</v>
      </c>
      <c r="K109" s="118">
        <f>K108+K105+K101+K97+K79+K73+K71+K61+K34+K31+K26+K22+K14</f>
        <v>5513613.29</v>
      </c>
      <c r="L109" s="119">
        <f>L108+L105+L101+L97+L79+L73+L71+L61+L34+L31+L26+L22+L14</f>
        <v>5961268.3499999996</v>
      </c>
      <c r="M109" s="46">
        <f>M108+M105+M101+M97+M79+M73+M71+M61+M34+M31+M26+M22+M14</f>
        <v>1781609.25</v>
      </c>
      <c r="N109" s="120">
        <f t="shared" ref="N109:Q109" si="66">N108+N105+N101+N97+N79+N73+N71+N61+N34+N31+N26+N22+N14</f>
        <v>11456855.540000001</v>
      </c>
      <c r="O109" s="120">
        <f t="shared" si="66"/>
        <v>3112789.2585714296</v>
      </c>
      <c r="P109" s="120">
        <f t="shared" si="66"/>
        <v>1653774.89</v>
      </c>
      <c r="Q109" s="120">
        <f t="shared" si="66"/>
        <v>143456</v>
      </c>
      <c r="R109" s="95">
        <f>N109+O109+P109+Q109</f>
        <v>16366875.688571431</v>
      </c>
      <c r="S109" s="94"/>
      <c r="T109" s="126">
        <f t="shared" si="41"/>
        <v>0.98027970821217303</v>
      </c>
    </row>
    <row r="110" spans="1:20" x14ac:dyDescent="0.2">
      <c r="D110" s="31"/>
      <c r="G110" s="31"/>
      <c r="H110" s="35"/>
      <c r="K110" s="5"/>
    </row>
    <row r="111" spans="1:20" x14ac:dyDescent="0.2">
      <c r="G111" s="31"/>
      <c r="H111" s="35"/>
      <c r="K111" s="5"/>
      <c r="M111" s="5"/>
      <c r="S111" s="5"/>
    </row>
    <row r="112" spans="1:20" x14ac:dyDescent="0.2">
      <c r="G112" s="31"/>
      <c r="M112" s="5"/>
    </row>
    <row r="113" spans="6:6" x14ac:dyDescent="0.2">
      <c r="F113" s="31"/>
    </row>
    <row r="114" spans="6:6" x14ac:dyDescent="0.2">
      <c r="F114" s="31"/>
    </row>
  </sheetData>
  <mergeCells count="37">
    <mergeCell ref="T9:T10"/>
    <mergeCell ref="A109:C109"/>
    <mergeCell ref="A14:C14"/>
    <mergeCell ref="A22:C22"/>
    <mergeCell ref="A31:C31"/>
    <mergeCell ref="A34:C34"/>
    <mergeCell ref="B62:B70"/>
    <mergeCell ref="B74:B78"/>
    <mergeCell ref="A61:C61"/>
    <mergeCell ref="A71:C71"/>
    <mergeCell ref="A79:C79"/>
    <mergeCell ref="A73:C73"/>
    <mergeCell ref="N9:R9"/>
    <mergeCell ref="A9:A10"/>
    <mergeCell ref="B9:B10"/>
    <mergeCell ref="C9:C10"/>
    <mergeCell ref="D9:J9"/>
    <mergeCell ref="K9:M9"/>
    <mergeCell ref="N1:R1"/>
    <mergeCell ref="A2:C2"/>
    <mergeCell ref="A6:C6"/>
    <mergeCell ref="A7:M7"/>
    <mergeCell ref="A3:C4"/>
    <mergeCell ref="B106:B107"/>
    <mergeCell ref="B11:B13"/>
    <mergeCell ref="B15:B21"/>
    <mergeCell ref="B23:B25"/>
    <mergeCell ref="B27:B30"/>
    <mergeCell ref="B32:B33"/>
    <mergeCell ref="B35:B60"/>
    <mergeCell ref="A26:C26"/>
    <mergeCell ref="A105:C105"/>
    <mergeCell ref="A97:C97"/>
    <mergeCell ref="A101:C101"/>
    <mergeCell ref="B98:B100"/>
    <mergeCell ref="B102:B104"/>
    <mergeCell ref="B80:B96"/>
  </mergeCells>
  <hyperlinks>
    <hyperlink ref="D2" r:id="rId1"/>
    <hyperlink ref="D3" r:id="rId2"/>
    <hyperlink ref="D4" r:id="rId3"/>
    <hyperlink ref="D6" r:id="rId4"/>
  </hyperlinks>
  <pageMargins left="0.39370078740157483" right="0.39370078740157483" top="0.35433070866141736" bottom="0.35433070866141736" header="0" footer="0"/>
  <pageSetup paperSize="9" scale="71" fitToWidth="2" fitToHeight="4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Проворова</dc:creator>
  <cp:lastModifiedBy>Проворова</cp:lastModifiedBy>
  <cp:lastPrinted>2022-01-14T11:12:15Z</cp:lastPrinted>
  <dcterms:created xsi:type="dcterms:W3CDTF">2020-02-26T09:41:45Z</dcterms:created>
  <dcterms:modified xsi:type="dcterms:W3CDTF">2022-01-14T11:21:11Z</dcterms:modified>
</cp:coreProperties>
</file>